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2435" windowHeight="6375" activeTab="4"/>
  </bookViews>
  <sheets>
    <sheet name="Operating Costs" sheetId="1" r:id="rId1"/>
    <sheet name="Equipment Cost" sheetId="2" r:id="rId2"/>
    <sheet name="Project Investment" sheetId="3" r:id="rId3"/>
    <sheet name="Products" sheetId="4" r:id="rId4"/>
    <sheet name="Cash Flow" sheetId="5" r:id="rId5"/>
  </sheets>
  <definedNames/>
  <calcPr fullCalcOnLoad="1"/>
</workbook>
</file>

<file path=xl/comments1.xml><?xml version="1.0" encoding="utf-8"?>
<comments xmlns="http://schemas.openxmlformats.org/spreadsheetml/2006/main">
  <authors>
    <author>ctheodore</author>
  </authors>
  <commentList>
    <comment ref="B6" authorId="0">
      <text>
        <r>
          <rPr>
            <b/>
            <sz val="8"/>
            <rFont val="Tahoma"/>
            <family val="2"/>
          </rPr>
          <t>ctheodore:</t>
        </r>
        <r>
          <rPr>
            <sz val="8"/>
            <rFont val="Tahoma"/>
            <family val="2"/>
          </rPr>
          <t xml:space="preserve">
Edmonton rate</t>
        </r>
      </text>
    </comment>
    <comment ref="D6" authorId="0">
      <text>
        <r>
          <rPr>
            <b/>
            <sz val="8"/>
            <rFont val="Tahoma"/>
            <family val="2"/>
          </rPr>
          <t>ctheodore:</t>
        </r>
        <r>
          <rPr>
            <sz val="8"/>
            <rFont val="Tahoma"/>
            <family val="2"/>
          </rPr>
          <t xml:space="preserve">
kW</t>
        </r>
      </text>
    </comment>
    <comment ref="I6" authorId="0">
      <text>
        <r>
          <rPr>
            <b/>
            <sz val="8"/>
            <rFont val="Tahoma"/>
            <family val="2"/>
          </rPr>
          <t>ctheodore:</t>
        </r>
        <r>
          <rPr>
            <sz val="8"/>
            <rFont val="Tahoma"/>
            <family val="2"/>
          </rPr>
          <t xml:space="preserve">
kW</t>
        </r>
      </text>
    </comment>
  </commentList>
</comments>
</file>

<file path=xl/comments5.xml><?xml version="1.0" encoding="utf-8"?>
<comments xmlns="http://schemas.openxmlformats.org/spreadsheetml/2006/main">
  <authors>
    <author>ctheodore</author>
    <author>Install</author>
  </authors>
  <commentList>
    <comment ref="G10" authorId="0">
      <text>
        <r>
          <rPr>
            <b/>
            <sz val="8"/>
            <rFont val="Tahoma"/>
            <family val="2"/>
          </rPr>
          <t>ctheodore:</t>
        </r>
        <r>
          <rPr>
            <sz val="8"/>
            <rFont val="Tahoma"/>
            <family val="2"/>
          </rPr>
          <t xml:space="preserve">
budget for 4 members for year</t>
        </r>
      </text>
    </comment>
    <comment ref="M10" authorId="0">
      <text>
        <r>
          <rPr>
            <b/>
            <sz val="8"/>
            <rFont val="Tahoma"/>
            <family val="2"/>
          </rPr>
          <t>ctheodore:</t>
        </r>
        <r>
          <rPr>
            <sz val="8"/>
            <rFont val="Tahoma"/>
            <family val="2"/>
          </rPr>
          <t xml:space="preserve">
8 Salaried employees starting with $65,000 annually</t>
        </r>
      </text>
    </comment>
    <comment ref="M4" authorId="0">
      <text>
        <r>
          <rPr>
            <b/>
            <sz val="8"/>
            <rFont val="Tahoma"/>
            <family val="2"/>
          </rPr>
          <t>ctheodore:</t>
        </r>
        <r>
          <rPr>
            <sz val="8"/>
            <rFont val="Tahoma"/>
            <family val="2"/>
          </rPr>
          <t xml:space="preserve">
assuming 135 days of operation -&gt; 60 days of cinnamic acid prod., 60 days of 4-hydroxy prod. And 15 days of shikimic prod.</t>
        </r>
      </text>
    </comment>
    <comment ref="O4" authorId="0">
      <text>
        <r>
          <rPr>
            <b/>
            <sz val="8"/>
            <rFont val="Tahoma"/>
            <family val="2"/>
          </rPr>
          <t>ctheodore:</t>
        </r>
        <r>
          <rPr>
            <sz val="8"/>
            <rFont val="Tahoma"/>
            <family val="2"/>
          </rPr>
          <t xml:space="preserve">
assuming 200 days of operation -&gt; 91 days of cinnamic acid prod., 91 days of 4-hydroxy prod. And 18 days of shikimic prod. (10% of market share)</t>
        </r>
      </text>
    </comment>
    <comment ref="Q4" authorId="0">
      <text>
        <r>
          <rPr>
            <b/>
            <sz val="8"/>
            <rFont val="Tahoma"/>
            <family val="2"/>
          </rPr>
          <t>ctheodore:</t>
        </r>
        <r>
          <rPr>
            <sz val="8"/>
            <rFont val="Tahoma"/>
            <family val="2"/>
          </rPr>
          <t xml:space="preserve">
assuming 300 days of operation -&gt; 135 days of cinnamic acid prod., 135 days of 4-hydroxy prod. And 30 days of shikimic prod.</t>
        </r>
      </text>
    </comment>
    <comment ref="K21" authorId="1">
      <text>
        <r>
          <rPr>
            <b/>
            <sz val="9"/>
            <rFont val="Tahoma"/>
            <family val="2"/>
          </rPr>
          <t>Install:</t>
        </r>
        <r>
          <rPr>
            <sz val="9"/>
            <rFont val="Tahoma"/>
            <family val="2"/>
          </rPr>
          <t xml:space="preserve">
investment from recycling company for taking feedstock for no cost</t>
        </r>
      </text>
    </comment>
    <comment ref="K33" authorId="1">
      <text>
        <r>
          <rPr>
            <b/>
            <sz val="9"/>
            <rFont val="Tahoma"/>
            <family val="2"/>
          </rPr>
          <t>Install:</t>
        </r>
        <r>
          <rPr>
            <sz val="9"/>
            <rFont val="Tahoma"/>
            <family val="2"/>
          </rPr>
          <t xml:space="preserve">
private equity</t>
        </r>
      </text>
    </comment>
    <comment ref="G33" authorId="1">
      <text>
        <r>
          <rPr>
            <b/>
            <sz val="9"/>
            <rFont val="Tahoma"/>
            <family val="2"/>
          </rPr>
          <t>Install:</t>
        </r>
        <r>
          <rPr>
            <sz val="9"/>
            <rFont val="Tahoma"/>
            <family val="2"/>
          </rPr>
          <t xml:space="preserve">
Money borrowed from the bank
</t>
        </r>
      </text>
    </comment>
    <comment ref="K8" authorId="1">
      <text>
        <r>
          <rPr>
            <b/>
            <sz val="9"/>
            <rFont val="Tahoma"/>
            <family val="2"/>
          </rPr>
          <t>Install:</t>
        </r>
        <r>
          <rPr>
            <sz val="9"/>
            <rFont val="Tahoma"/>
            <family val="2"/>
          </rPr>
          <t xml:space="preserve">
conferences, marketing, etc.</t>
        </r>
      </text>
    </comment>
  </commentList>
</comments>
</file>

<file path=xl/sharedStrings.xml><?xml version="1.0" encoding="utf-8"?>
<sst xmlns="http://schemas.openxmlformats.org/spreadsheetml/2006/main" count="224" uniqueCount="180">
  <si>
    <t>Summary of Operating Costs</t>
  </si>
  <si>
    <t>Cellulase</t>
  </si>
  <si>
    <t>Residual Disposal</t>
  </si>
  <si>
    <t>Electricity</t>
  </si>
  <si>
    <t>Insurance @ 1% of total capital cost</t>
  </si>
  <si>
    <t>Maintenance @ 3% of capital cost</t>
  </si>
  <si>
    <t>Total operating cost</t>
  </si>
  <si>
    <t>Cost ($/kg)</t>
  </si>
  <si>
    <t>kg/hr</t>
  </si>
  <si>
    <t>$/year</t>
  </si>
  <si>
    <t>Equipment Cost Summary</t>
  </si>
  <si>
    <t>Equip No.</t>
  </si>
  <si>
    <t>Equipment Name</t>
  </si>
  <si>
    <t>Equipment Category</t>
  </si>
  <si>
    <t>Equip cost</t>
  </si>
  <si>
    <t>Instillation Factor</t>
  </si>
  <si>
    <t>Total Installed Cost</t>
  </si>
  <si>
    <t>Cost Method</t>
  </si>
  <si>
    <t>H101</t>
  </si>
  <si>
    <t>Sterilization System</t>
  </si>
  <si>
    <t>Heatx</t>
  </si>
  <si>
    <t>Centrifuge</t>
  </si>
  <si>
    <t>Vendor quote</t>
  </si>
  <si>
    <t>P101</t>
  </si>
  <si>
    <t>Feed pump</t>
  </si>
  <si>
    <t>Pump</t>
  </si>
  <si>
    <t>P102</t>
  </si>
  <si>
    <t>Enzyme Pump</t>
  </si>
  <si>
    <t>Feed storage tank</t>
  </si>
  <si>
    <t>Tank</t>
  </si>
  <si>
    <t>T101</t>
  </si>
  <si>
    <t>T102</t>
  </si>
  <si>
    <t>Enzyme Tank</t>
  </si>
  <si>
    <t>A201</t>
  </si>
  <si>
    <t>Agitator</t>
  </si>
  <si>
    <t>A202</t>
  </si>
  <si>
    <t>Batch Reactor 1</t>
  </si>
  <si>
    <t>Batch Reactor 2</t>
  </si>
  <si>
    <t xml:space="preserve">P201 </t>
  </si>
  <si>
    <t>Circulating pump</t>
  </si>
  <si>
    <t>C301</t>
  </si>
  <si>
    <t>M301</t>
  </si>
  <si>
    <t>Molecular Sieve unit</t>
  </si>
  <si>
    <t>Miscell.</t>
  </si>
  <si>
    <t>NREL</t>
  </si>
  <si>
    <t>F301</t>
  </si>
  <si>
    <t>Ultrafiltration Unit</t>
  </si>
  <si>
    <t>Dewatering Equip</t>
  </si>
  <si>
    <t>F101</t>
  </si>
  <si>
    <t>GE</t>
  </si>
  <si>
    <t>P301</t>
  </si>
  <si>
    <t>Water Recirc Pump</t>
  </si>
  <si>
    <t>P302</t>
  </si>
  <si>
    <t>Water Outlet Pump</t>
  </si>
  <si>
    <t>A401</t>
  </si>
  <si>
    <t>Bioreactor</t>
  </si>
  <si>
    <t>Reactor</t>
  </si>
  <si>
    <t>H401</t>
  </si>
  <si>
    <t>Bioreactor Heat Exchanger</t>
  </si>
  <si>
    <t>P401</t>
  </si>
  <si>
    <t>Bioreactor acid pump</t>
  </si>
  <si>
    <t>S401</t>
  </si>
  <si>
    <t>Switchable Solutions System</t>
  </si>
  <si>
    <t>P402</t>
  </si>
  <si>
    <t>Recycle Pump</t>
  </si>
  <si>
    <t>Total</t>
  </si>
  <si>
    <t>Cargo Container</t>
  </si>
  <si>
    <t>Total Project Investment</t>
  </si>
  <si>
    <t>Total installed equipment cost</t>
  </si>
  <si>
    <t>Capital cost contingency (30%)</t>
  </si>
  <si>
    <t>Indirect Cost</t>
  </si>
  <si>
    <t xml:space="preserve">     Legal and admin fee (10% of TIC)</t>
  </si>
  <si>
    <t>Total installed cost (TIC)</t>
  </si>
  <si>
    <t>Total capital cost (TCC)</t>
  </si>
  <si>
    <t>Site Development (5%)</t>
  </si>
  <si>
    <t>Belt Press</t>
  </si>
  <si>
    <t>K101</t>
  </si>
  <si>
    <t>K102</t>
  </si>
  <si>
    <t>Used container</t>
  </si>
  <si>
    <t>Notes</t>
  </si>
  <si>
    <t>50 ton capacity</t>
  </si>
  <si>
    <t>500kg capactity</t>
  </si>
  <si>
    <t>Chem Eng Economics - Ulrich</t>
  </si>
  <si>
    <t>Carbon steel, jacketed, with agitator 20m3 volume reactor - liquid height to diameter 2.0</t>
  </si>
  <si>
    <t>Carbon steel, jacketed, with agitator 30m3 volume reactor - liquid height to diameter 2.0</t>
  </si>
  <si>
    <t>P202</t>
  </si>
  <si>
    <t>Batch Reactor 1 Acid Pump</t>
  </si>
  <si>
    <t>T103</t>
  </si>
  <si>
    <t>Acid storage tank</t>
  </si>
  <si>
    <t>100kg capacity</t>
  </si>
  <si>
    <t>ESTIMATE</t>
  </si>
  <si>
    <t>$/kg glucose</t>
  </si>
  <si>
    <t>Steam</t>
  </si>
  <si>
    <t>$/kWh</t>
  </si>
  <si>
    <t>$/hr</t>
  </si>
  <si>
    <t>Purification Op Cost @ 10% of TCC</t>
  </si>
  <si>
    <t>Waste Water Treatment Op Cost @ 5% of TCC</t>
  </si>
  <si>
    <t xml:space="preserve">    Construction regulation fee (15% of TIC)</t>
  </si>
  <si>
    <t>Subtotal capital cost (SCC)</t>
  </si>
  <si>
    <t>$/day</t>
  </si>
  <si>
    <t>Recycling Plant</t>
  </si>
  <si>
    <t>Pulp &amp; Paper Mill</t>
  </si>
  <si>
    <t>acid name</t>
  </si>
  <si>
    <t>profit per day (MR)</t>
  </si>
  <si>
    <t>salary cost per day</t>
  </si>
  <si>
    <t>operation cost( per day )</t>
  </si>
  <si>
    <t>taxation cost per day</t>
  </si>
  <si>
    <t xml:space="preserve">recycling and environmetal protection </t>
  </si>
  <si>
    <t xml:space="preserve">Insurance </t>
  </si>
  <si>
    <t>maintenance</t>
  </si>
  <si>
    <t>total cost per day (MC)</t>
  </si>
  <si>
    <t>MR-MC</t>
  </si>
  <si>
    <t>feasibility</t>
  </si>
  <si>
    <t>cinnamic acid (worse case)in recycling plant stream</t>
  </si>
  <si>
    <t>impossible</t>
  </si>
  <si>
    <t>cinnamic acid (best case)in recycling plant stream</t>
  </si>
  <si>
    <t>impossible</t>
  </si>
  <si>
    <t>cinnamic acid (best case) in pulp and paper mill stream</t>
  </si>
  <si>
    <t>possible and company need to expand</t>
  </si>
  <si>
    <t>cinnamic acid( worse case)in pulp and paper mill stream</t>
  </si>
  <si>
    <t>impossible</t>
  </si>
  <si>
    <t>4-hydroxycinnamic acid ( best case) in recycling plant</t>
  </si>
  <si>
    <t>possible and company need to expand</t>
  </si>
  <si>
    <t xml:space="preserve">4-hydroxycinnamic acid (worse case)in recycling plant </t>
  </si>
  <si>
    <t>impossible</t>
  </si>
  <si>
    <t>4-hydroxycinnamic acid (worse case in pulp and paper mill)</t>
  </si>
  <si>
    <t>possible and company need to expand</t>
  </si>
  <si>
    <t>4-hydroxycinnamic acid ( best case in pulp and paper mill)</t>
  </si>
  <si>
    <t>possible and company need to expand</t>
  </si>
  <si>
    <t>shikimic acid( worse case in recycling plant)</t>
  </si>
  <si>
    <t>possible and company need to expand</t>
  </si>
  <si>
    <t>shikimic acid(best case in recycling plant)</t>
  </si>
  <si>
    <t>possible and company need to expand</t>
  </si>
  <si>
    <t>shikic acid( worst case in pulp and paper mill)</t>
  </si>
  <si>
    <t>possible and company need to expand</t>
  </si>
  <si>
    <t>shikimic acid( best case in paper and pulp mill)</t>
  </si>
  <si>
    <t>possible and company need to expand</t>
  </si>
  <si>
    <t>production amount per day (ton)</t>
  </si>
  <si>
    <t>year 0</t>
  </si>
  <si>
    <t>year 1</t>
  </si>
  <si>
    <t>year 2</t>
  </si>
  <si>
    <t>year 3</t>
  </si>
  <si>
    <t>year 4</t>
  </si>
  <si>
    <t>year 5</t>
  </si>
  <si>
    <t>year 6</t>
  </si>
  <si>
    <t>year 7</t>
  </si>
  <si>
    <t>operating activities</t>
  </si>
  <si>
    <t xml:space="preserve">cash receipts from </t>
  </si>
  <si>
    <t>sales</t>
  </si>
  <si>
    <t>cash paid for</t>
  </si>
  <si>
    <t>inventory purchase</t>
  </si>
  <si>
    <t>wage expense</t>
  </si>
  <si>
    <t>interests</t>
  </si>
  <si>
    <t>income taxes</t>
  </si>
  <si>
    <t>net cash flow from operations</t>
  </si>
  <si>
    <t>investing activities</t>
  </si>
  <si>
    <t>cash receipt from</t>
  </si>
  <si>
    <t>sales of property and equipment</t>
  </si>
  <si>
    <t>collection of principal on loans</t>
  </si>
  <si>
    <t>sales of investment securities</t>
  </si>
  <si>
    <t xml:space="preserve">cash paid for </t>
  </si>
  <si>
    <t>purchase of property and equipment</t>
  </si>
  <si>
    <t xml:space="preserve">making loans of entitles </t>
  </si>
  <si>
    <t>purchase of investment securities</t>
  </si>
  <si>
    <t>net cash flow from investment activites</t>
  </si>
  <si>
    <t xml:space="preserve">financing activites </t>
  </si>
  <si>
    <t>cash receipts from</t>
  </si>
  <si>
    <t>issurance of stock</t>
  </si>
  <si>
    <t>borrowing</t>
  </si>
  <si>
    <t>repurchase of the stock</t>
  </si>
  <si>
    <t>repayment of the loans</t>
  </si>
  <si>
    <t>dividends</t>
  </si>
  <si>
    <t>net cash flow from financing activies</t>
  </si>
  <si>
    <t xml:space="preserve">net increase of the cash </t>
  </si>
  <si>
    <t>cash at the beginning of the year</t>
  </si>
  <si>
    <t>cash at the end of the year</t>
  </si>
  <si>
    <t>company value increase</t>
  </si>
  <si>
    <t>company value in each year</t>
  </si>
  <si>
    <t>Revenue from feedstock</t>
  </si>
  <si>
    <t>general operating and administrive expenses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</si>
</sst>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&quot;$&quot;* #,##0.000_-;\-&quot;$&quot;* #,##0.000_-;_-&quot;$&quot;* &quot;-&quot;??_-;_-@_-"/>
    <numFmt numFmtId="166" formatCode="_-&quot;$&quot;* #,##0_-;\-&quot;$&quot;* #,##0_-;_-&quot;$&quot;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166" fontId="2" fillId="0" borderId="0" xfId="44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166" fontId="2" fillId="0" borderId="0" xfId="44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0" xfId="44" applyFont="1" applyBorder="1" applyAlignment="1">
      <alignment horizontal="center"/>
    </xf>
    <xf numFmtId="166" fontId="2" fillId="0" borderId="10" xfId="44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165" fontId="2" fillId="0" borderId="0" xfId="44" applyNumberFormat="1" applyFont="1" applyAlignment="1">
      <alignment/>
    </xf>
    <xf numFmtId="0" fontId="2" fillId="0" borderId="0" xfId="0" applyFont="1" applyFill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4" fillId="0" borderId="0" xfId="0" applyFont="1" applyBorder="1" applyAlignment="1">
      <alignment/>
    </xf>
    <xf numFmtId="164" fontId="2" fillId="0" borderId="0" xfId="44" applyFont="1" applyAlignment="1">
      <alignment/>
    </xf>
    <xf numFmtId="0" fontId="2" fillId="0" borderId="0" xfId="0" applyFont="1" applyAlignment="1">
      <alignment horizontal="center"/>
    </xf>
    <xf numFmtId="166" fontId="2" fillId="0" borderId="0" xfId="44" applyNumberFormat="1" applyFont="1" applyAlignment="1">
      <alignment/>
    </xf>
    <xf numFmtId="166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66" fontId="3" fillId="0" borderId="0" xfId="44" applyNumberFormat="1" applyFont="1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164" fontId="0" fillId="0" borderId="0" xfId="44" applyFont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43" fontId="0" fillId="0" borderId="0" xfId="42" applyFont="1" applyAlignment="1">
      <alignment/>
    </xf>
    <xf numFmtId="43" fontId="0" fillId="0" borderId="0" xfId="42" applyFont="1" applyAlignment="1">
      <alignment horizontal="center" vertical="center"/>
    </xf>
    <xf numFmtId="0" fontId="0" fillId="0" borderId="0" xfId="0" applyAlignment="1">
      <alignment horizontal="left" vertical="center"/>
    </xf>
    <xf numFmtId="43" fontId="0" fillId="0" borderId="0" xfId="0" applyNumberFormat="1" applyAlignment="1">
      <alignment/>
    </xf>
    <xf numFmtId="164" fontId="0" fillId="0" borderId="0" xfId="44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0" fillId="0" borderId="0" xfId="44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43" fontId="0" fillId="0" borderId="0" xfId="42" applyFont="1" applyAlignment="1">
      <alignment horizontal="center" vertical="center"/>
    </xf>
    <xf numFmtId="43" fontId="0" fillId="0" borderId="0" xfId="42" applyFont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center" vertical="center"/>
    </xf>
    <xf numFmtId="43" fontId="0" fillId="0" borderId="0" xfId="42" applyFont="1" applyFill="1" applyAlignment="1">
      <alignment horizontal="center" vertical="center"/>
    </xf>
    <xf numFmtId="0" fontId="0" fillId="0" borderId="0" xfId="0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32.57421875" style="0" customWidth="1"/>
    <col min="2" max="2" width="12.57421875" style="0" customWidth="1"/>
    <col min="3" max="3" width="13.7109375" style="0" customWidth="1"/>
    <col min="6" max="6" width="11.00390625" style="0" customWidth="1"/>
    <col min="7" max="7" width="12.8515625" style="0" customWidth="1"/>
    <col min="11" max="11" width="11.57421875" style="0" customWidth="1"/>
    <col min="12" max="12" width="13.140625" style="0" customWidth="1"/>
  </cols>
  <sheetData>
    <row r="1" spans="1:8" ht="15">
      <c r="A1" s="14" t="s">
        <v>0</v>
      </c>
      <c r="B1" s="14"/>
      <c r="C1" s="1"/>
      <c r="D1" s="1"/>
      <c r="E1" s="1"/>
      <c r="F1" s="1"/>
      <c r="G1" s="1"/>
      <c r="H1" s="1"/>
    </row>
    <row r="2" spans="1:12" ht="15">
      <c r="A2" s="1"/>
      <c r="B2" s="1"/>
      <c r="C2" s="1"/>
      <c r="D2" s="14" t="s">
        <v>100</v>
      </c>
      <c r="E2" s="1"/>
      <c r="F2" s="1"/>
      <c r="G2" s="1"/>
      <c r="H2" s="1"/>
      <c r="I2" s="14" t="s">
        <v>101</v>
      </c>
      <c r="J2" s="1"/>
      <c r="K2" s="1"/>
      <c r="L2" s="1"/>
    </row>
    <row r="3" spans="1:12" ht="15">
      <c r="A3" s="1"/>
      <c r="B3" s="1"/>
      <c r="C3" s="22" t="s">
        <v>7</v>
      </c>
      <c r="D3" s="22" t="s">
        <v>8</v>
      </c>
      <c r="E3" s="22" t="s">
        <v>94</v>
      </c>
      <c r="F3" s="22" t="s">
        <v>99</v>
      </c>
      <c r="G3" s="22" t="s">
        <v>9</v>
      </c>
      <c r="H3" s="1"/>
      <c r="I3" s="22" t="s">
        <v>8</v>
      </c>
      <c r="J3" s="22" t="s">
        <v>94</v>
      </c>
      <c r="K3" s="22" t="s">
        <v>99</v>
      </c>
      <c r="L3" s="22" t="s">
        <v>9</v>
      </c>
    </row>
    <row r="4" spans="1:12" ht="15">
      <c r="A4" s="1" t="s">
        <v>1</v>
      </c>
      <c r="B4" s="1" t="s">
        <v>91</v>
      </c>
      <c r="C4" s="15">
        <v>0.013</v>
      </c>
      <c r="D4" s="26">
        <f>12.6*907.185/24</f>
        <v>476.27212499999996</v>
      </c>
      <c r="E4" s="21">
        <f>C4*D4</f>
        <v>6.191537625</v>
      </c>
      <c r="F4" s="21">
        <f>E4*24</f>
        <v>148.596903</v>
      </c>
      <c r="G4" s="23">
        <f>E4*24*300</f>
        <v>44579.0709</v>
      </c>
      <c r="H4" s="1"/>
      <c r="I4" s="26">
        <f>31.8*907.185/24</f>
        <v>1202.020125</v>
      </c>
      <c r="J4" s="21">
        <f>C4*I4</f>
        <v>15.626261625</v>
      </c>
      <c r="K4" s="21">
        <f>J4*24</f>
        <v>375.030279</v>
      </c>
      <c r="L4" s="23">
        <f>J4*24*300</f>
        <v>112509.0837</v>
      </c>
    </row>
    <row r="5" spans="1:12" ht="15">
      <c r="A5" s="1" t="s">
        <v>2</v>
      </c>
      <c r="B5" s="1" t="s">
        <v>91</v>
      </c>
      <c r="C5" s="15">
        <v>0.025</v>
      </c>
      <c r="D5" s="26">
        <f>12.6*907.185/24</f>
        <v>476.27212499999996</v>
      </c>
      <c r="E5" s="21">
        <f>C5*D5</f>
        <v>11.906803125</v>
      </c>
      <c r="F5" s="21">
        <f>E5*24</f>
        <v>285.763275</v>
      </c>
      <c r="G5" s="23">
        <f>E5*24*300</f>
        <v>85728.98250000001</v>
      </c>
      <c r="H5" s="1"/>
      <c r="I5" s="26">
        <f>31.8*907.185/24</f>
        <v>1202.020125</v>
      </c>
      <c r="J5" s="21">
        <f>C5*I5</f>
        <v>30.050503125000002</v>
      </c>
      <c r="K5" s="21">
        <f>J5*24</f>
        <v>721.212075</v>
      </c>
      <c r="L5" s="23">
        <f>J5*24*300</f>
        <v>216363.6225</v>
      </c>
    </row>
    <row r="6" spans="1:12" ht="15">
      <c r="A6" s="1" t="s">
        <v>3</v>
      </c>
      <c r="B6" s="1" t="s">
        <v>93</v>
      </c>
      <c r="C6" s="15">
        <v>0.089</v>
      </c>
      <c r="D6" s="1">
        <v>200</v>
      </c>
      <c r="E6" s="21">
        <f>C6*D6</f>
        <v>17.8</v>
      </c>
      <c r="F6" s="21">
        <f>E6*24</f>
        <v>427.20000000000005</v>
      </c>
      <c r="G6" s="23">
        <f>E6*24*300</f>
        <v>128160.00000000001</v>
      </c>
      <c r="H6" s="1"/>
      <c r="I6" s="1">
        <v>200</v>
      </c>
      <c r="J6" s="21">
        <f>C6*I6</f>
        <v>17.8</v>
      </c>
      <c r="K6" s="21">
        <f>J6*24</f>
        <v>427.20000000000005</v>
      </c>
      <c r="L6" s="23">
        <f>J6*24*300</f>
        <v>128160.00000000001</v>
      </c>
    </row>
    <row r="7" spans="1:12" ht="15">
      <c r="A7" s="1" t="s">
        <v>92</v>
      </c>
      <c r="B7" s="1" t="s">
        <v>91</v>
      </c>
      <c r="C7" s="15">
        <v>0.015</v>
      </c>
      <c r="D7" s="26">
        <f>12.6*907.185/24</f>
        <v>476.27212499999996</v>
      </c>
      <c r="E7" s="21">
        <f>C7*D7</f>
        <v>7.1440818749999995</v>
      </c>
      <c r="F7" s="21">
        <f>E7*24</f>
        <v>171.457965</v>
      </c>
      <c r="G7" s="23">
        <f>E7*24*300</f>
        <v>51437.3895</v>
      </c>
      <c r="H7" s="1"/>
      <c r="I7" s="26">
        <f>31.8*907.185/24</f>
        <v>1202.020125</v>
      </c>
      <c r="J7" s="21">
        <f>C7*I7</f>
        <v>18.030301875</v>
      </c>
      <c r="K7" s="21">
        <f>J7*24</f>
        <v>432.727245</v>
      </c>
      <c r="L7" s="23">
        <f>J7*24*300</f>
        <v>129818.17349999999</v>
      </c>
    </row>
    <row r="8" spans="1:12" ht="15">
      <c r="A8" s="1"/>
      <c r="B8" s="1"/>
      <c r="C8" s="15"/>
      <c r="D8" s="1"/>
      <c r="E8" s="1"/>
      <c r="F8" s="21"/>
      <c r="G8" s="1"/>
      <c r="H8" s="1"/>
      <c r="I8" s="1"/>
      <c r="J8" s="1"/>
      <c r="K8" s="21"/>
      <c r="L8" s="1"/>
    </row>
    <row r="9" spans="1:12" ht="15">
      <c r="A9" s="1" t="s">
        <v>96</v>
      </c>
      <c r="B9" s="1"/>
      <c r="C9" s="15"/>
      <c r="D9" s="1"/>
      <c r="E9" s="1"/>
      <c r="F9" s="21">
        <f>G9/300</f>
        <v>835.81875</v>
      </c>
      <c r="G9" s="23">
        <f>'Project Investment'!B13*5/100</f>
        <v>250745.625</v>
      </c>
      <c r="H9" s="1"/>
      <c r="I9" s="1"/>
      <c r="J9" s="1"/>
      <c r="K9" s="21">
        <f>L9/300</f>
        <v>835.81875</v>
      </c>
      <c r="L9" s="23">
        <f>'Project Investment'!B13*5/100</f>
        <v>250745.625</v>
      </c>
    </row>
    <row r="10" spans="1:12" ht="15">
      <c r="A10" s="1" t="s">
        <v>95</v>
      </c>
      <c r="B10" s="1"/>
      <c r="C10" s="15"/>
      <c r="D10" s="1"/>
      <c r="E10" s="1"/>
      <c r="F10" s="21">
        <f>G10/300</f>
        <v>1671.6375</v>
      </c>
      <c r="G10" s="23">
        <f>'Project Investment'!B13*10/100</f>
        <v>501491.25</v>
      </c>
      <c r="H10" s="1"/>
      <c r="I10" s="1"/>
      <c r="J10" s="1"/>
      <c r="K10" s="21">
        <f>L10/300</f>
        <v>1671.6375</v>
      </c>
      <c r="L10" s="23">
        <f>'Project Investment'!B13*10/100</f>
        <v>501491.25</v>
      </c>
    </row>
    <row r="11" spans="1:12" ht="15">
      <c r="A11" s="1" t="s">
        <v>4</v>
      </c>
      <c r="B11" s="1"/>
      <c r="D11" s="1"/>
      <c r="E11" s="1"/>
      <c r="F11" s="21">
        <f>G11/300</f>
        <v>167.16375</v>
      </c>
      <c r="G11" s="23">
        <f>'Project Investment'!B13/100</f>
        <v>50149.125</v>
      </c>
      <c r="H11" s="1"/>
      <c r="I11" s="1"/>
      <c r="J11" s="1"/>
      <c r="K11" s="21">
        <f>L11/300</f>
        <v>167.16375</v>
      </c>
      <c r="L11" s="23">
        <f>'Project Investment'!B13/100</f>
        <v>50149.125</v>
      </c>
    </row>
    <row r="12" spans="1:12" ht="15">
      <c r="A12" s="1" t="s">
        <v>5</v>
      </c>
      <c r="B12" s="1"/>
      <c r="D12" s="1"/>
      <c r="E12" s="1"/>
      <c r="F12" s="21">
        <f>G12/300</f>
        <v>501.49125</v>
      </c>
      <c r="G12" s="23">
        <f>G11*3</f>
        <v>150447.375</v>
      </c>
      <c r="H12" s="1"/>
      <c r="I12" s="1"/>
      <c r="J12" s="1"/>
      <c r="K12" s="21">
        <f>L12/300</f>
        <v>501.49125</v>
      </c>
      <c r="L12" s="23">
        <f>L11*3</f>
        <v>150447.375</v>
      </c>
    </row>
    <row r="13" spans="1:12" ht="15">
      <c r="A13" s="1"/>
      <c r="B13" s="1"/>
      <c r="C13" s="1"/>
      <c r="D13" s="1"/>
      <c r="E13" s="1"/>
      <c r="F13" s="21"/>
      <c r="G13" s="1"/>
      <c r="H13" s="1"/>
      <c r="I13" s="1"/>
      <c r="J13" s="1"/>
      <c r="K13" s="21"/>
      <c r="L13" s="1"/>
    </row>
    <row r="14" spans="1:12" ht="15">
      <c r="A14" s="14" t="s">
        <v>6</v>
      </c>
      <c r="B14" s="14"/>
      <c r="C14" s="14"/>
      <c r="D14" s="14"/>
      <c r="E14" s="14"/>
      <c r="F14" s="27">
        <f>SUM(F4:F12)</f>
        <v>4209.129393</v>
      </c>
      <c r="G14" s="24">
        <f>SUM(G4:G12)</f>
        <v>1262738.8179000001</v>
      </c>
      <c r="H14" s="1"/>
      <c r="I14" s="14"/>
      <c r="J14" s="14"/>
      <c r="K14" s="27">
        <f>SUM(K4:K12)</f>
        <v>5132.280849</v>
      </c>
      <c r="L14" s="24">
        <f>SUM(L4:L12)</f>
        <v>1539684.2547</v>
      </c>
    </row>
    <row r="15" spans="1:8" ht="15">
      <c r="A15" s="1"/>
      <c r="B15" s="1"/>
      <c r="C15" s="1"/>
      <c r="D15" s="1"/>
      <c r="E15" s="1"/>
      <c r="F15" s="1"/>
      <c r="G15" s="1"/>
      <c r="H15" s="1"/>
    </row>
    <row r="16" spans="1:8" ht="15">
      <c r="A16" s="1"/>
      <c r="B16" s="1"/>
      <c r="C16" s="1"/>
      <c r="D16" s="1"/>
      <c r="E16" s="1"/>
      <c r="F16" s="1"/>
      <c r="G16" s="1"/>
      <c r="H16" s="1"/>
    </row>
    <row r="17" spans="1:8" ht="15">
      <c r="A17" s="1"/>
      <c r="B17" s="1"/>
      <c r="C17" s="1"/>
      <c r="D17" s="1"/>
      <c r="E17" s="1"/>
      <c r="F17" s="1"/>
      <c r="G17" s="1"/>
      <c r="H17" s="1"/>
    </row>
    <row r="18" spans="1:8" ht="15">
      <c r="A18" s="1"/>
      <c r="B18" s="1"/>
      <c r="C18" s="1"/>
      <c r="D18" s="1"/>
      <c r="E18" s="1"/>
      <c r="F18" s="1"/>
      <c r="G18" s="1"/>
      <c r="H18" s="1"/>
    </row>
    <row r="19" spans="1:8" ht="15">
      <c r="A19" s="1"/>
      <c r="B19" s="1"/>
      <c r="C19" s="1"/>
      <c r="D19" s="1"/>
      <c r="E19" s="1"/>
      <c r="F19" s="1"/>
      <c r="G19" s="1"/>
      <c r="H19" s="1"/>
    </row>
    <row r="20" spans="1:8" ht="15">
      <c r="A20" s="1"/>
      <c r="B20" s="1"/>
      <c r="C20" s="1"/>
      <c r="D20" s="1"/>
      <c r="E20" s="1"/>
      <c r="F20" s="1"/>
      <c r="G20" s="1"/>
      <c r="H20" s="1"/>
    </row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4">
      <selection activeCell="D32" sqref="D32"/>
    </sheetView>
  </sheetViews>
  <sheetFormatPr defaultColWidth="9.140625" defaultRowHeight="15"/>
  <cols>
    <col min="2" max="2" width="30.140625" style="0" customWidth="1"/>
    <col min="3" max="3" width="12.8515625" style="0" customWidth="1"/>
    <col min="4" max="4" width="11.421875" style="0" customWidth="1"/>
    <col min="5" max="5" width="10.421875" style="0" customWidth="1"/>
    <col min="6" max="6" width="15.421875" style="0" customWidth="1"/>
    <col min="7" max="7" width="28.7109375" style="0" customWidth="1"/>
    <col min="8" max="8" width="16.00390625" style="0" customWidth="1"/>
  </cols>
  <sheetData>
    <row r="1" spans="1:7" ht="15">
      <c r="A1" s="14" t="s">
        <v>10</v>
      </c>
      <c r="B1" s="1"/>
      <c r="C1" s="1"/>
      <c r="D1" s="1"/>
      <c r="E1" s="1"/>
      <c r="F1" s="1"/>
      <c r="G1" s="1"/>
    </row>
    <row r="2" spans="1:7" ht="15">
      <c r="A2" s="1"/>
      <c r="B2" s="1"/>
      <c r="C2" s="1"/>
      <c r="D2" s="1"/>
      <c r="E2" s="1"/>
      <c r="F2" s="1"/>
      <c r="G2" s="1"/>
    </row>
    <row r="3" spans="1:8" ht="30">
      <c r="A3" s="17" t="s">
        <v>11</v>
      </c>
      <c r="B3" s="18" t="s">
        <v>12</v>
      </c>
      <c r="C3" s="18" t="s">
        <v>13</v>
      </c>
      <c r="D3" s="18" t="s">
        <v>14</v>
      </c>
      <c r="E3" s="18" t="s">
        <v>15</v>
      </c>
      <c r="F3" s="18" t="s">
        <v>16</v>
      </c>
      <c r="G3" s="19" t="s">
        <v>17</v>
      </c>
      <c r="H3" s="16" t="s">
        <v>79</v>
      </c>
    </row>
    <row r="4" spans="1:8" ht="15">
      <c r="A4" s="3" t="s">
        <v>76</v>
      </c>
      <c r="B4" s="3" t="s">
        <v>66</v>
      </c>
      <c r="C4" s="3" t="s">
        <v>43</v>
      </c>
      <c r="D4" s="7">
        <v>4000</v>
      </c>
      <c r="E4" s="8">
        <v>1</v>
      </c>
      <c r="F4" s="9">
        <f>D4*E4</f>
        <v>4000</v>
      </c>
      <c r="G4" s="4" t="s">
        <v>22</v>
      </c>
      <c r="H4" s="4" t="s">
        <v>78</v>
      </c>
    </row>
    <row r="5" spans="1:8" ht="15">
      <c r="A5" s="3" t="s">
        <v>77</v>
      </c>
      <c r="B5" s="3" t="s">
        <v>66</v>
      </c>
      <c r="C5" s="3" t="s">
        <v>43</v>
      </c>
      <c r="D5" s="7">
        <v>4000</v>
      </c>
      <c r="E5" s="8">
        <v>1</v>
      </c>
      <c r="F5" s="9">
        <f>D5*E5</f>
        <v>4000</v>
      </c>
      <c r="G5" s="4" t="s">
        <v>22</v>
      </c>
      <c r="H5" s="6"/>
    </row>
    <row r="6" spans="1:8" ht="15" customHeight="1">
      <c r="A6" s="3" t="s">
        <v>48</v>
      </c>
      <c r="B6" s="3" t="s">
        <v>47</v>
      </c>
      <c r="C6" s="3" t="s">
        <v>43</v>
      </c>
      <c r="D6" s="7">
        <v>80000</v>
      </c>
      <c r="E6" s="8">
        <v>1.2</v>
      </c>
      <c r="F6" s="9">
        <f>D6*E6</f>
        <v>96000</v>
      </c>
      <c r="G6" s="4" t="s">
        <v>22</v>
      </c>
      <c r="H6" s="4" t="s">
        <v>75</v>
      </c>
    </row>
    <row r="7" spans="1:8" ht="15">
      <c r="A7" s="4" t="s">
        <v>18</v>
      </c>
      <c r="B7" s="4" t="s">
        <v>19</v>
      </c>
      <c r="C7" s="4" t="s">
        <v>20</v>
      </c>
      <c r="D7" s="9">
        <v>20000</v>
      </c>
      <c r="E7" s="10">
        <v>2.1</v>
      </c>
      <c r="F7" s="9">
        <f>D7*E7</f>
        <v>42000</v>
      </c>
      <c r="G7" s="4" t="s">
        <v>82</v>
      </c>
      <c r="H7" s="6"/>
    </row>
    <row r="8" spans="1:8" ht="15">
      <c r="A8" s="4" t="s">
        <v>23</v>
      </c>
      <c r="B8" s="4" t="s">
        <v>24</v>
      </c>
      <c r="C8" s="4" t="s">
        <v>25</v>
      </c>
      <c r="D8" s="9">
        <v>5000</v>
      </c>
      <c r="E8" s="10">
        <v>2.8</v>
      </c>
      <c r="F8" s="9">
        <f aca="true" t="shared" si="0" ref="F8:F26">D8*E8</f>
        <v>14000</v>
      </c>
      <c r="G8" s="4" t="s">
        <v>82</v>
      </c>
      <c r="H8" s="6"/>
    </row>
    <row r="9" spans="1:8" ht="15">
      <c r="A9" s="4" t="s">
        <v>26</v>
      </c>
      <c r="B9" s="4" t="s">
        <v>27</v>
      </c>
      <c r="C9" s="4" t="s">
        <v>25</v>
      </c>
      <c r="D9" s="9">
        <v>2500</v>
      </c>
      <c r="E9" s="10">
        <v>2.8</v>
      </c>
      <c r="F9" s="9">
        <f t="shared" si="0"/>
        <v>7000</v>
      </c>
      <c r="G9" s="4" t="s">
        <v>82</v>
      </c>
      <c r="H9" s="6"/>
    </row>
    <row r="10" spans="1:8" ht="15">
      <c r="A10" s="4" t="s">
        <v>30</v>
      </c>
      <c r="B10" s="4" t="s">
        <v>28</v>
      </c>
      <c r="C10" s="4" t="s">
        <v>29</v>
      </c>
      <c r="D10" s="9">
        <v>25000</v>
      </c>
      <c r="E10" s="10">
        <v>1.2</v>
      </c>
      <c r="F10" s="9">
        <f t="shared" si="0"/>
        <v>30000</v>
      </c>
      <c r="G10" s="4" t="s">
        <v>82</v>
      </c>
      <c r="H10" s="4" t="s">
        <v>80</v>
      </c>
    </row>
    <row r="11" spans="1:8" ht="15">
      <c r="A11" s="4" t="s">
        <v>31</v>
      </c>
      <c r="B11" s="4" t="s">
        <v>32</v>
      </c>
      <c r="C11" s="4" t="s">
        <v>29</v>
      </c>
      <c r="D11" s="9">
        <v>7500</v>
      </c>
      <c r="E11" s="10">
        <v>1.2</v>
      </c>
      <c r="F11" s="9">
        <f t="shared" si="0"/>
        <v>9000</v>
      </c>
      <c r="G11" s="4" t="s">
        <v>82</v>
      </c>
      <c r="H11" s="4" t="s">
        <v>81</v>
      </c>
    </row>
    <row r="12" spans="1:8" ht="15">
      <c r="A12" s="4" t="s">
        <v>87</v>
      </c>
      <c r="B12" s="4" t="s">
        <v>88</v>
      </c>
      <c r="C12" s="4" t="s">
        <v>29</v>
      </c>
      <c r="D12" s="9">
        <v>5000</v>
      </c>
      <c r="E12" s="10">
        <v>1.2</v>
      </c>
      <c r="F12" s="9">
        <f t="shared" si="0"/>
        <v>6000</v>
      </c>
      <c r="G12" s="4" t="s">
        <v>82</v>
      </c>
      <c r="H12" s="4" t="s">
        <v>89</v>
      </c>
    </row>
    <row r="13" spans="1:8" ht="15">
      <c r="A13" s="4" t="s">
        <v>33</v>
      </c>
      <c r="B13" s="4" t="s">
        <v>36</v>
      </c>
      <c r="C13" s="4" t="s">
        <v>34</v>
      </c>
      <c r="D13" s="9">
        <v>175000</v>
      </c>
      <c r="E13" s="10">
        <v>1.2</v>
      </c>
      <c r="F13" s="9">
        <f t="shared" si="0"/>
        <v>210000</v>
      </c>
      <c r="G13" s="4" t="s">
        <v>82</v>
      </c>
      <c r="H13" s="4" t="s">
        <v>83</v>
      </c>
    </row>
    <row r="14" spans="1:8" ht="15">
      <c r="A14" s="4" t="s">
        <v>35</v>
      </c>
      <c r="B14" s="4" t="s">
        <v>37</v>
      </c>
      <c r="C14" s="4" t="s">
        <v>34</v>
      </c>
      <c r="D14" s="9">
        <v>175000</v>
      </c>
      <c r="E14" s="10">
        <v>1.2</v>
      </c>
      <c r="F14" s="9">
        <f t="shared" si="0"/>
        <v>210000</v>
      </c>
      <c r="G14" s="4" t="s">
        <v>82</v>
      </c>
      <c r="H14" s="4" t="s">
        <v>83</v>
      </c>
    </row>
    <row r="15" spans="1:8" ht="15">
      <c r="A15" s="4" t="s">
        <v>38</v>
      </c>
      <c r="B15" s="4" t="s">
        <v>39</v>
      </c>
      <c r="C15" s="4" t="s">
        <v>25</v>
      </c>
      <c r="D15" s="9">
        <v>5000</v>
      </c>
      <c r="E15" s="10">
        <v>2.8</v>
      </c>
      <c r="F15" s="9">
        <f t="shared" si="0"/>
        <v>14000</v>
      </c>
      <c r="G15" s="4" t="s">
        <v>82</v>
      </c>
      <c r="H15" s="6"/>
    </row>
    <row r="16" spans="1:8" ht="15">
      <c r="A16" s="4" t="s">
        <v>85</v>
      </c>
      <c r="B16" s="4" t="s">
        <v>86</v>
      </c>
      <c r="C16" s="4" t="s">
        <v>25</v>
      </c>
      <c r="D16" s="9">
        <v>5000</v>
      </c>
      <c r="E16" s="10">
        <v>2.8</v>
      </c>
      <c r="F16" s="9">
        <f t="shared" si="0"/>
        <v>14000</v>
      </c>
      <c r="G16" s="4" t="s">
        <v>82</v>
      </c>
      <c r="H16" s="6"/>
    </row>
    <row r="17" spans="1:8" ht="15">
      <c r="A17" s="4" t="s">
        <v>40</v>
      </c>
      <c r="B17" s="4" t="s">
        <v>21</v>
      </c>
      <c r="C17" s="4" t="s">
        <v>21</v>
      </c>
      <c r="D17" s="9">
        <v>125000</v>
      </c>
      <c r="E17" s="10">
        <v>1.2</v>
      </c>
      <c r="F17" s="9">
        <f>D17*E17</f>
        <v>150000</v>
      </c>
      <c r="G17" s="4" t="s">
        <v>22</v>
      </c>
      <c r="H17" s="6"/>
    </row>
    <row r="18" spans="1:8" ht="15">
      <c r="A18" s="4" t="s">
        <v>41</v>
      </c>
      <c r="B18" s="4" t="s">
        <v>42</v>
      </c>
      <c r="C18" s="4" t="s">
        <v>43</v>
      </c>
      <c r="D18" s="9">
        <v>105000</v>
      </c>
      <c r="E18" s="10">
        <v>1</v>
      </c>
      <c r="F18" s="9">
        <f t="shared" si="0"/>
        <v>105000</v>
      </c>
      <c r="G18" s="4" t="s">
        <v>44</v>
      </c>
      <c r="H18" s="6"/>
    </row>
    <row r="19" spans="1:8" ht="15">
      <c r="A19" s="4" t="s">
        <v>45</v>
      </c>
      <c r="B19" s="4" t="s">
        <v>46</v>
      </c>
      <c r="C19" s="4" t="s">
        <v>43</v>
      </c>
      <c r="D19" s="9">
        <v>650000</v>
      </c>
      <c r="E19" s="10">
        <v>1</v>
      </c>
      <c r="F19" s="9">
        <f t="shared" si="0"/>
        <v>650000</v>
      </c>
      <c r="G19" s="4" t="s">
        <v>49</v>
      </c>
      <c r="H19" s="6"/>
    </row>
    <row r="20" spans="1:8" ht="15">
      <c r="A20" s="4" t="s">
        <v>50</v>
      </c>
      <c r="B20" s="4" t="s">
        <v>51</v>
      </c>
      <c r="C20" s="4" t="s">
        <v>25</v>
      </c>
      <c r="D20" s="9">
        <v>12500</v>
      </c>
      <c r="E20" s="10">
        <v>2.8</v>
      </c>
      <c r="F20" s="9">
        <f t="shared" si="0"/>
        <v>35000</v>
      </c>
      <c r="G20" s="4" t="s">
        <v>82</v>
      </c>
      <c r="H20" s="6"/>
    </row>
    <row r="21" spans="1:8" ht="15">
      <c r="A21" s="4" t="s">
        <v>52</v>
      </c>
      <c r="B21" s="4" t="s">
        <v>53</v>
      </c>
      <c r="C21" s="4" t="s">
        <v>25</v>
      </c>
      <c r="D21" s="9">
        <v>18000</v>
      </c>
      <c r="E21" s="10">
        <v>2.5</v>
      </c>
      <c r="F21" s="9">
        <f t="shared" si="0"/>
        <v>45000</v>
      </c>
      <c r="G21" s="4" t="s">
        <v>82</v>
      </c>
      <c r="H21" s="6"/>
    </row>
    <row r="22" spans="1:8" ht="15">
      <c r="A22" s="4" t="s">
        <v>54</v>
      </c>
      <c r="B22" s="4" t="s">
        <v>55</v>
      </c>
      <c r="C22" s="4" t="s">
        <v>56</v>
      </c>
      <c r="D22" s="9">
        <v>250000</v>
      </c>
      <c r="E22" s="10">
        <v>1.2</v>
      </c>
      <c r="F22" s="9">
        <f t="shared" si="0"/>
        <v>300000</v>
      </c>
      <c r="G22" s="4" t="s">
        <v>82</v>
      </c>
      <c r="H22" s="4" t="s">
        <v>84</v>
      </c>
    </row>
    <row r="23" spans="1:8" ht="15">
      <c r="A23" s="4" t="s">
        <v>57</v>
      </c>
      <c r="B23" s="4" t="s">
        <v>58</v>
      </c>
      <c r="C23" s="4" t="s">
        <v>20</v>
      </c>
      <c r="D23" s="11">
        <v>15000</v>
      </c>
      <c r="E23" s="10">
        <v>1.2</v>
      </c>
      <c r="F23" s="9">
        <f t="shared" si="0"/>
        <v>18000</v>
      </c>
      <c r="G23" s="4" t="s">
        <v>82</v>
      </c>
      <c r="H23" s="6"/>
    </row>
    <row r="24" spans="1:8" ht="15">
      <c r="A24" s="4" t="s">
        <v>59</v>
      </c>
      <c r="B24" s="4" t="s">
        <v>60</v>
      </c>
      <c r="C24" s="4" t="s">
        <v>25</v>
      </c>
      <c r="D24" s="9">
        <v>2500</v>
      </c>
      <c r="E24" s="10">
        <v>2.8</v>
      </c>
      <c r="F24" s="9">
        <f t="shared" si="0"/>
        <v>7000</v>
      </c>
      <c r="G24" s="4" t="s">
        <v>82</v>
      </c>
      <c r="H24" s="6"/>
    </row>
    <row r="25" spans="1:8" ht="15">
      <c r="A25" s="4" t="s">
        <v>61</v>
      </c>
      <c r="B25" s="4" t="s">
        <v>62</v>
      </c>
      <c r="C25" s="4" t="s">
        <v>43</v>
      </c>
      <c r="D25" s="9">
        <v>500000</v>
      </c>
      <c r="E25" s="10">
        <v>2</v>
      </c>
      <c r="F25" s="9">
        <f t="shared" si="0"/>
        <v>1000000</v>
      </c>
      <c r="G25" s="20" t="s">
        <v>90</v>
      </c>
      <c r="H25" s="6"/>
    </row>
    <row r="26" spans="1:8" ht="15">
      <c r="A26" s="5" t="s">
        <v>63</v>
      </c>
      <c r="B26" s="5" t="s">
        <v>64</v>
      </c>
      <c r="C26" s="5" t="s">
        <v>25</v>
      </c>
      <c r="D26" s="12">
        <v>3500</v>
      </c>
      <c r="E26" s="13">
        <v>2.8</v>
      </c>
      <c r="F26" s="12">
        <f t="shared" si="0"/>
        <v>9800</v>
      </c>
      <c r="G26" s="4" t="s">
        <v>82</v>
      </c>
      <c r="H26" s="6"/>
    </row>
    <row r="27" spans="1:7" ht="15">
      <c r="A27" s="1"/>
      <c r="B27" s="1"/>
      <c r="C27" s="1"/>
      <c r="D27" s="1"/>
      <c r="E27" s="1"/>
      <c r="F27" s="1"/>
      <c r="G27" s="1"/>
    </row>
    <row r="28" spans="1:7" ht="15">
      <c r="A28" s="24" t="s">
        <v>65</v>
      </c>
      <c r="B28" s="24"/>
      <c r="C28" s="24"/>
      <c r="D28" s="24"/>
      <c r="E28" s="24"/>
      <c r="F28" s="24">
        <f>SUM(F6:F26)</f>
        <v>2971800</v>
      </c>
      <c r="G28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B10" activeCellId="1" sqref="B6 B10"/>
    </sheetView>
  </sheetViews>
  <sheetFormatPr defaultColWidth="9.140625" defaultRowHeight="15"/>
  <cols>
    <col min="1" max="1" width="33.57421875" style="0" customWidth="1"/>
    <col min="2" max="2" width="15.7109375" style="0" customWidth="1"/>
  </cols>
  <sheetData>
    <row r="1" spans="1:5" ht="15">
      <c r="A1" s="14" t="s">
        <v>67</v>
      </c>
      <c r="B1" s="1"/>
      <c r="C1" s="1"/>
      <c r="D1" s="1"/>
      <c r="E1" s="1"/>
    </row>
    <row r="2" spans="1:5" ht="15">
      <c r="A2" s="1"/>
      <c r="B2" s="1"/>
      <c r="C2" s="1"/>
      <c r="D2" s="1"/>
      <c r="E2" s="1"/>
    </row>
    <row r="3" spans="1:5" ht="15">
      <c r="A3" s="1" t="s">
        <v>68</v>
      </c>
      <c r="B3" s="2">
        <f>'Equipment Cost'!F28</f>
        <v>2971800</v>
      </c>
      <c r="C3" s="1"/>
      <c r="D3" s="1"/>
      <c r="E3" s="1"/>
    </row>
    <row r="4" spans="1:5" ht="15">
      <c r="A4" s="1" t="s">
        <v>74</v>
      </c>
      <c r="B4" s="2">
        <f>0.05*B3</f>
        <v>148590</v>
      </c>
      <c r="C4" s="1"/>
      <c r="D4" s="1"/>
      <c r="E4" s="1"/>
    </row>
    <row r="5" spans="1:5" ht="15">
      <c r="A5" s="1" t="s">
        <v>69</v>
      </c>
      <c r="B5" s="2">
        <f>0.3*B3</f>
        <v>891540</v>
      </c>
      <c r="C5" s="1"/>
      <c r="D5" s="1"/>
      <c r="E5" s="1"/>
    </row>
    <row r="6" spans="1:5" ht="15">
      <c r="A6" s="1" t="s">
        <v>72</v>
      </c>
      <c r="B6" s="2">
        <f>SUM(B3:B5)</f>
        <v>4011930</v>
      </c>
      <c r="C6" s="1"/>
      <c r="D6" s="1"/>
      <c r="E6" s="1"/>
    </row>
    <row r="7" spans="1:5" ht="15">
      <c r="A7" s="1"/>
      <c r="B7" s="1"/>
      <c r="C7" s="1"/>
      <c r="D7" s="1"/>
      <c r="E7" s="1"/>
    </row>
    <row r="8" spans="1:5" ht="15">
      <c r="A8" s="1" t="s">
        <v>70</v>
      </c>
      <c r="B8" s="1"/>
      <c r="C8" s="1"/>
      <c r="D8" s="1"/>
      <c r="E8" s="1"/>
    </row>
    <row r="9" spans="1:5" ht="15">
      <c r="A9" s="1" t="s">
        <v>71</v>
      </c>
      <c r="B9" s="2">
        <f>0.1*B6</f>
        <v>401193</v>
      </c>
      <c r="C9" s="1"/>
      <c r="D9" s="1"/>
      <c r="E9" s="1"/>
    </row>
    <row r="10" spans="1:5" ht="15">
      <c r="A10" s="1" t="s">
        <v>97</v>
      </c>
      <c r="B10" s="21">
        <f>0.15*B6</f>
        <v>601789.5</v>
      </c>
      <c r="C10" s="1"/>
      <c r="D10" s="1"/>
      <c r="E10" s="1"/>
    </row>
    <row r="11" spans="1:5" ht="15">
      <c r="A11" s="1" t="s">
        <v>98</v>
      </c>
      <c r="B11" s="21">
        <f>B6+B9+B10</f>
        <v>5014912.5</v>
      </c>
      <c r="C11" s="1"/>
      <c r="D11" s="1"/>
      <c r="E11" s="1"/>
    </row>
    <row r="12" spans="1:5" ht="15">
      <c r="A12" s="1"/>
      <c r="B12" s="1"/>
      <c r="C12" s="1"/>
      <c r="D12" s="1"/>
      <c r="E12" s="1"/>
    </row>
    <row r="13" spans="1:5" ht="15">
      <c r="A13" s="14" t="s">
        <v>73</v>
      </c>
      <c r="B13" s="25">
        <f>B11</f>
        <v>5014912.5</v>
      </c>
      <c r="C13" s="1"/>
      <c r="D13" s="1"/>
      <c r="E13" s="1"/>
    </row>
    <row r="14" spans="1:5" ht="15">
      <c r="A14" s="1"/>
      <c r="B14" s="1"/>
      <c r="C14" s="1"/>
      <c r="D14" s="1"/>
      <c r="E14" s="1"/>
    </row>
    <row r="15" spans="1:5" ht="15">
      <c r="A15" s="1"/>
      <c r="B15" s="1"/>
      <c r="C15" s="1"/>
      <c r="D15" s="1"/>
      <c r="E15" s="1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66"/>
  <sheetViews>
    <sheetView zoomScalePageLayoutView="0" workbookViewId="0" topLeftCell="A4">
      <selection activeCell="X10" sqref="X10:Z13"/>
    </sheetView>
  </sheetViews>
  <sheetFormatPr defaultColWidth="9.140625" defaultRowHeight="15"/>
  <cols>
    <col min="1" max="1" width="31.421875" style="0" customWidth="1"/>
    <col min="2" max="2" width="0.13671875" style="0" hidden="1" customWidth="1"/>
    <col min="11" max="12" width="9.140625" style="29" customWidth="1"/>
    <col min="14" max="14" width="9.00390625" style="0" customWidth="1"/>
  </cols>
  <sheetData>
    <row r="1" spans="1:26" ht="44.25" customHeight="1">
      <c r="A1" s="38" t="s">
        <v>102</v>
      </c>
      <c r="B1" s="38"/>
      <c r="C1" s="38" t="s">
        <v>137</v>
      </c>
      <c r="D1" s="38"/>
      <c r="E1" s="38" t="s">
        <v>103</v>
      </c>
      <c r="F1" s="38"/>
      <c r="G1" s="38" t="s">
        <v>104</v>
      </c>
      <c r="H1" s="38"/>
      <c r="I1" s="38" t="s">
        <v>105</v>
      </c>
      <c r="J1" s="38"/>
      <c r="K1" s="41" t="s">
        <v>106</v>
      </c>
      <c r="L1" s="41"/>
      <c r="M1" s="38" t="s">
        <v>107</v>
      </c>
      <c r="N1" s="38"/>
      <c r="O1" s="40" t="s">
        <v>108</v>
      </c>
      <c r="P1" s="40"/>
      <c r="Q1" s="40" t="s">
        <v>109</v>
      </c>
      <c r="R1" s="40"/>
      <c r="S1" s="40" t="s">
        <v>110</v>
      </c>
      <c r="T1" s="40"/>
      <c r="U1" s="40"/>
      <c r="V1" s="40" t="s">
        <v>111</v>
      </c>
      <c r="W1" s="40"/>
      <c r="X1" s="40" t="s">
        <v>112</v>
      </c>
      <c r="Y1" s="40"/>
      <c r="Z1" s="40"/>
    </row>
    <row r="2" spans="1:26" ht="15">
      <c r="A2" s="38" t="s">
        <v>113</v>
      </c>
      <c r="B2" s="38"/>
      <c r="C2" s="40">
        <v>0.357</v>
      </c>
      <c r="D2" s="40"/>
      <c r="E2" s="37">
        <f>C2*6967.18</f>
        <v>2487.28326</v>
      </c>
      <c r="F2" s="37"/>
      <c r="G2" s="37">
        <v>1733</v>
      </c>
      <c r="H2" s="37"/>
      <c r="I2" s="37">
        <f>SUM('Operating Costs'!F4:F7)</f>
        <v>1033.018143</v>
      </c>
      <c r="J2" s="37"/>
      <c r="K2" s="39">
        <v>0</v>
      </c>
      <c r="L2" s="39"/>
      <c r="M2" s="37">
        <v>3582.08</v>
      </c>
      <c r="N2" s="37"/>
      <c r="O2" s="37">
        <f>'Operating Costs'!F11</f>
        <v>167.16375</v>
      </c>
      <c r="P2" s="37"/>
      <c r="Q2" s="37">
        <f>'Operating Costs'!F12</f>
        <v>501.49125</v>
      </c>
      <c r="R2" s="37"/>
      <c r="S2" s="37">
        <f>Q2+O2+M2+K2+I2+G2</f>
        <v>7016.753143</v>
      </c>
      <c r="T2" s="37"/>
      <c r="U2" s="37"/>
      <c r="V2" s="37">
        <f>E2-S2</f>
        <v>-4529.469883</v>
      </c>
      <c r="W2" s="37"/>
      <c r="X2" s="40" t="s">
        <v>114</v>
      </c>
      <c r="Y2" s="40"/>
      <c r="Z2" s="40"/>
    </row>
    <row r="3" spans="1:26" ht="15">
      <c r="A3" s="38"/>
      <c r="B3" s="38"/>
      <c r="C3" s="40"/>
      <c r="D3" s="40"/>
      <c r="E3" s="37"/>
      <c r="F3" s="37"/>
      <c r="G3" s="37"/>
      <c r="H3" s="37"/>
      <c r="I3" s="37"/>
      <c r="J3" s="37"/>
      <c r="K3" s="39"/>
      <c r="L3" s="39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40"/>
      <c r="Y3" s="40"/>
      <c r="Z3" s="40"/>
    </row>
    <row r="4" spans="1:26" ht="15">
      <c r="A4" s="38"/>
      <c r="B4" s="38"/>
      <c r="C4" s="40"/>
      <c r="D4" s="40"/>
      <c r="E4" s="37"/>
      <c r="F4" s="37"/>
      <c r="G4" s="37"/>
      <c r="H4" s="37"/>
      <c r="I4" s="37"/>
      <c r="J4" s="37"/>
      <c r="K4" s="39"/>
      <c r="L4" s="39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40"/>
      <c r="Y4" s="40"/>
      <c r="Z4" s="40"/>
    </row>
    <row r="5" spans="1:26" ht="15">
      <c r="A5" s="38"/>
      <c r="B5" s="38"/>
      <c r="C5" s="40"/>
      <c r="D5" s="40"/>
      <c r="E5" s="37"/>
      <c r="F5" s="37"/>
      <c r="G5" s="37"/>
      <c r="H5" s="37"/>
      <c r="I5" s="37"/>
      <c r="J5" s="37"/>
      <c r="K5" s="39"/>
      <c r="L5" s="39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40"/>
      <c r="Y5" s="40"/>
      <c r="Z5" s="40"/>
    </row>
    <row r="6" spans="1:26" ht="15">
      <c r="A6" s="38" t="s">
        <v>115</v>
      </c>
      <c r="B6" s="38"/>
      <c r="C6" s="40">
        <v>1.787</v>
      </c>
      <c r="D6" s="40"/>
      <c r="E6" s="37">
        <f>C6*6967.18</f>
        <v>12450.35066</v>
      </c>
      <c r="F6" s="37"/>
      <c r="G6" s="37">
        <v>1733</v>
      </c>
      <c r="H6" s="37"/>
      <c r="I6" s="37">
        <f>SUM('Operating Costs'!F4:F7)</f>
        <v>1033.018143</v>
      </c>
      <c r="J6" s="37"/>
      <c r="K6" s="39">
        <v>0</v>
      </c>
      <c r="L6" s="39"/>
      <c r="M6" s="37">
        <v>3582.08</v>
      </c>
      <c r="N6" s="37"/>
      <c r="O6" s="37">
        <f>'Operating Costs'!F11</f>
        <v>167.16375</v>
      </c>
      <c r="P6" s="37"/>
      <c r="Q6" s="37">
        <f>'Operating Costs'!F12</f>
        <v>501.49125</v>
      </c>
      <c r="R6" s="37"/>
      <c r="S6" s="37">
        <f>G6+I6+M6+O6+Q6</f>
        <v>7016.753143</v>
      </c>
      <c r="T6" s="37"/>
      <c r="U6" s="37"/>
      <c r="V6" s="37">
        <f>E6-S6</f>
        <v>5433.597517</v>
      </c>
      <c r="W6" s="37"/>
      <c r="X6" s="40" t="s">
        <v>116</v>
      </c>
      <c r="Y6" s="40"/>
      <c r="Z6" s="40"/>
    </row>
    <row r="7" spans="1:26" ht="15">
      <c r="A7" s="38"/>
      <c r="B7" s="38"/>
      <c r="C7" s="40"/>
      <c r="D7" s="40"/>
      <c r="E7" s="37"/>
      <c r="F7" s="37"/>
      <c r="G7" s="37"/>
      <c r="H7" s="37"/>
      <c r="I7" s="37"/>
      <c r="J7" s="37"/>
      <c r="K7" s="39"/>
      <c r="L7" s="39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40"/>
      <c r="Y7" s="40"/>
      <c r="Z7" s="40"/>
    </row>
    <row r="8" spans="1:26" ht="15">
      <c r="A8" s="38"/>
      <c r="B8" s="38"/>
      <c r="C8" s="40"/>
      <c r="D8" s="40"/>
      <c r="E8" s="37"/>
      <c r="F8" s="37"/>
      <c r="G8" s="37"/>
      <c r="H8" s="37"/>
      <c r="I8" s="37"/>
      <c r="J8" s="37"/>
      <c r="K8" s="39"/>
      <c r="L8" s="39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40"/>
      <c r="Y8" s="40"/>
      <c r="Z8" s="40"/>
    </row>
    <row r="9" spans="1:26" ht="15">
      <c r="A9" s="38"/>
      <c r="B9" s="38"/>
      <c r="C9" s="40"/>
      <c r="D9" s="40"/>
      <c r="E9" s="37"/>
      <c r="F9" s="37"/>
      <c r="G9" s="37"/>
      <c r="H9" s="37"/>
      <c r="I9" s="37"/>
      <c r="J9" s="37"/>
      <c r="K9" s="39"/>
      <c r="L9" s="39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40"/>
      <c r="Y9" s="40"/>
      <c r="Z9" s="40"/>
    </row>
    <row r="10" spans="1:26" ht="15">
      <c r="A10" s="38" t="s">
        <v>117</v>
      </c>
      <c r="B10" s="38"/>
      <c r="C10" s="40">
        <v>4.511</v>
      </c>
      <c r="D10" s="40"/>
      <c r="E10" s="37">
        <f>C10*6967.18</f>
        <v>31428.94898</v>
      </c>
      <c r="F10" s="37"/>
      <c r="G10" s="37">
        <v>1733</v>
      </c>
      <c r="H10" s="37"/>
      <c r="I10" s="37">
        <f>SUM('Operating Costs'!K4:K7)</f>
        <v>1956.169599</v>
      </c>
      <c r="J10" s="37"/>
      <c r="K10" s="39">
        <f>(E10-G10-I10-M10-O10-Q10)*0.1762</f>
        <v>4138.7696199322</v>
      </c>
      <c r="L10" s="39"/>
      <c r="M10" s="37">
        <v>3582.08</v>
      </c>
      <c r="N10" s="37"/>
      <c r="O10" s="37">
        <f>'Operating Costs'!K11</f>
        <v>167.16375</v>
      </c>
      <c r="P10" s="37"/>
      <c r="Q10" s="37">
        <f>'Operating Costs'!K12</f>
        <v>501.49125</v>
      </c>
      <c r="R10" s="37"/>
      <c r="S10" s="37">
        <f>Q10+O10+M10+K10+I10+G10</f>
        <v>12078.6742189322</v>
      </c>
      <c r="T10" s="37"/>
      <c r="U10" s="37"/>
      <c r="V10" s="37">
        <f>E10-S10</f>
        <v>19350.2747610678</v>
      </c>
      <c r="W10" s="37"/>
      <c r="X10" s="38" t="s">
        <v>118</v>
      </c>
      <c r="Y10" s="38"/>
      <c r="Z10" s="38"/>
    </row>
    <row r="11" spans="1:26" ht="15">
      <c r="A11" s="38"/>
      <c r="B11" s="38"/>
      <c r="C11" s="40"/>
      <c r="D11" s="40"/>
      <c r="E11" s="37"/>
      <c r="F11" s="37"/>
      <c r="G11" s="37"/>
      <c r="H11" s="37"/>
      <c r="I11" s="37"/>
      <c r="J11" s="37"/>
      <c r="K11" s="39"/>
      <c r="L11" s="39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8"/>
      <c r="Y11" s="38"/>
      <c r="Z11" s="38"/>
    </row>
    <row r="12" spans="1:26" ht="15">
      <c r="A12" s="38"/>
      <c r="B12" s="38"/>
      <c r="C12" s="40"/>
      <c r="D12" s="40"/>
      <c r="E12" s="37"/>
      <c r="F12" s="37"/>
      <c r="G12" s="37"/>
      <c r="H12" s="37"/>
      <c r="I12" s="37"/>
      <c r="J12" s="37"/>
      <c r="K12" s="39"/>
      <c r="L12" s="39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8"/>
      <c r="Y12" s="38"/>
      <c r="Z12" s="38"/>
    </row>
    <row r="13" spans="1:26" ht="15">
      <c r="A13" s="38"/>
      <c r="B13" s="38"/>
      <c r="C13" s="40"/>
      <c r="D13" s="40"/>
      <c r="E13" s="37"/>
      <c r="F13" s="37"/>
      <c r="G13" s="37"/>
      <c r="H13" s="37"/>
      <c r="I13" s="37"/>
      <c r="J13" s="37"/>
      <c r="K13" s="39"/>
      <c r="L13" s="39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8"/>
      <c r="Y13" s="38"/>
      <c r="Z13" s="38"/>
    </row>
    <row r="14" spans="1:26" ht="15">
      <c r="A14" s="38" t="s">
        <v>119</v>
      </c>
      <c r="B14" s="38"/>
      <c r="C14" s="40">
        <v>0.902</v>
      </c>
      <c r="D14" s="40"/>
      <c r="E14" s="37">
        <f>C14*6967.18</f>
        <v>6284.396360000001</v>
      </c>
      <c r="F14" s="37"/>
      <c r="G14" s="37">
        <v>1733</v>
      </c>
      <c r="H14" s="37"/>
      <c r="I14" s="37">
        <f>SUM('Operating Costs'!K4:K7)</f>
        <v>1956.169599</v>
      </c>
      <c r="J14" s="37"/>
      <c r="K14" s="39">
        <v>0</v>
      </c>
      <c r="L14" s="39"/>
      <c r="M14" s="37">
        <v>3582.08</v>
      </c>
      <c r="N14" s="37"/>
      <c r="O14" s="37">
        <f>'Operating Costs'!K11</f>
        <v>167.16375</v>
      </c>
      <c r="P14" s="37"/>
      <c r="Q14" s="37">
        <f>'Operating Costs'!K12</f>
        <v>501.49125</v>
      </c>
      <c r="R14" s="37"/>
      <c r="S14" s="37">
        <f>Q14+O14+M14+K14+I14+G14</f>
        <v>7939.9045989999995</v>
      </c>
      <c r="T14" s="37"/>
      <c r="U14" s="37"/>
      <c r="V14" s="37">
        <f>E14-S14</f>
        <v>-1655.5082389999989</v>
      </c>
      <c r="W14" s="37"/>
      <c r="X14" s="38" t="s">
        <v>120</v>
      </c>
      <c r="Y14" s="38"/>
      <c r="Z14" s="38"/>
    </row>
    <row r="15" spans="1:26" ht="15">
      <c r="A15" s="38"/>
      <c r="B15" s="38"/>
      <c r="C15" s="40"/>
      <c r="D15" s="40"/>
      <c r="E15" s="37"/>
      <c r="F15" s="37"/>
      <c r="G15" s="37"/>
      <c r="H15" s="37"/>
      <c r="I15" s="37"/>
      <c r="J15" s="37"/>
      <c r="K15" s="39"/>
      <c r="L15" s="39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8"/>
      <c r="Y15" s="38"/>
      <c r="Z15" s="38"/>
    </row>
    <row r="16" spans="1:26" ht="15">
      <c r="A16" s="38"/>
      <c r="B16" s="38"/>
      <c r="C16" s="40"/>
      <c r="D16" s="40"/>
      <c r="E16" s="37"/>
      <c r="F16" s="37"/>
      <c r="G16" s="37"/>
      <c r="H16" s="37"/>
      <c r="I16" s="37"/>
      <c r="J16" s="37"/>
      <c r="K16" s="39"/>
      <c r="L16" s="39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8"/>
      <c r="Y16" s="38"/>
      <c r="Z16" s="38"/>
    </row>
    <row r="17" spans="1:26" ht="15">
      <c r="A17" s="38"/>
      <c r="B17" s="38"/>
      <c r="C17" s="40"/>
      <c r="D17" s="40"/>
      <c r="E17" s="37"/>
      <c r="F17" s="37"/>
      <c r="G17" s="37"/>
      <c r="H17" s="37"/>
      <c r="I17" s="37"/>
      <c r="J17" s="37"/>
      <c r="K17" s="39"/>
      <c r="L17" s="39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8"/>
      <c r="Y17" s="38"/>
      <c r="Z17" s="38"/>
    </row>
    <row r="18" spans="1:26" ht="15">
      <c r="A18" s="38" t="s">
        <v>121</v>
      </c>
      <c r="B18" s="38"/>
      <c r="C18" s="40">
        <v>1.45</v>
      </c>
      <c r="D18" s="40"/>
      <c r="E18" s="37">
        <f>C18*29610.52</f>
        <v>42935.254</v>
      </c>
      <c r="F18" s="37"/>
      <c r="G18" s="37">
        <v>1733</v>
      </c>
      <c r="H18" s="37"/>
      <c r="I18" s="37">
        <f>SUM('Operating Costs'!F4:F7)</f>
        <v>1033.018143</v>
      </c>
      <c r="J18" s="37"/>
      <c r="K18" s="39">
        <v>3580.58</v>
      </c>
      <c r="L18" s="39"/>
      <c r="M18" s="37">
        <v>3582.08</v>
      </c>
      <c r="N18" s="37"/>
      <c r="O18" s="37">
        <f>'Operating Costs'!F11</f>
        <v>167.16375</v>
      </c>
      <c r="P18" s="37"/>
      <c r="Q18" s="37">
        <f>'Operating Costs'!F12</f>
        <v>501.49125</v>
      </c>
      <c r="R18" s="37"/>
      <c r="S18" s="37">
        <f>Q18+O18+M18+K18+I18+G18</f>
        <v>10597.333143</v>
      </c>
      <c r="T18" s="37"/>
      <c r="U18" s="37"/>
      <c r="V18" s="37">
        <f>E18-S18</f>
        <v>32337.920857</v>
      </c>
      <c r="W18" s="37"/>
      <c r="X18" s="38" t="s">
        <v>122</v>
      </c>
      <c r="Y18" s="38"/>
      <c r="Z18" s="38"/>
    </row>
    <row r="19" spans="1:26" ht="15">
      <c r="A19" s="38"/>
      <c r="B19" s="38"/>
      <c r="C19" s="40"/>
      <c r="D19" s="40"/>
      <c r="E19" s="37"/>
      <c r="F19" s="37"/>
      <c r="G19" s="37"/>
      <c r="H19" s="37"/>
      <c r="I19" s="37"/>
      <c r="J19" s="37"/>
      <c r="K19" s="39"/>
      <c r="L19" s="39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8"/>
      <c r="Y19" s="38"/>
      <c r="Z19" s="38"/>
    </row>
    <row r="20" spans="1:26" ht="15">
      <c r="A20" s="38"/>
      <c r="B20" s="38"/>
      <c r="C20" s="40"/>
      <c r="D20" s="40"/>
      <c r="E20" s="37"/>
      <c r="F20" s="37"/>
      <c r="G20" s="37"/>
      <c r="H20" s="37"/>
      <c r="I20" s="37"/>
      <c r="J20" s="37"/>
      <c r="K20" s="39"/>
      <c r="L20" s="39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8"/>
      <c r="Y20" s="38"/>
      <c r="Z20" s="38"/>
    </row>
    <row r="21" spans="1:26" ht="15">
      <c r="A21" s="38"/>
      <c r="B21" s="38"/>
      <c r="C21" s="40"/>
      <c r="D21" s="40"/>
      <c r="E21" s="37"/>
      <c r="F21" s="37"/>
      <c r="G21" s="37"/>
      <c r="H21" s="37"/>
      <c r="I21" s="37"/>
      <c r="J21" s="37"/>
      <c r="K21" s="39"/>
      <c r="L21" s="39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8"/>
      <c r="Y21" s="38"/>
      <c r="Z21" s="38"/>
    </row>
    <row r="22" spans="1:26" ht="15">
      <c r="A22" s="38" t="s">
        <v>123</v>
      </c>
      <c r="B22" s="38"/>
      <c r="C22" s="40">
        <v>0.2898</v>
      </c>
      <c r="D22" s="40"/>
      <c r="E22" s="37">
        <f>C22*29610.52</f>
        <v>8581.128696</v>
      </c>
      <c r="F22" s="37"/>
      <c r="G22" s="37">
        <v>1733</v>
      </c>
      <c r="H22" s="37"/>
      <c r="I22" s="37">
        <f>SUM('Operating Costs'!F4:F7)</f>
        <v>1033.018143</v>
      </c>
      <c r="J22" s="37"/>
      <c r="K22" s="39">
        <v>0</v>
      </c>
      <c r="L22" s="39"/>
      <c r="M22" s="37">
        <v>3582.08</v>
      </c>
      <c r="N22" s="37"/>
      <c r="O22" s="37">
        <f>'Operating Costs'!F11</f>
        <v>167.16375</v>
      </c>
      <c r="P22" s="37"/>
      <c r="Q22" s="37">
        <f>'Operating Costs'!F12</f>
        <v>501.49125</v>
      </c>
      <c r="R22" s="37"/>
      <c r="S22" s="37">
        <f>G22+I22+M22+O22+Q22</f>
        <v>7016.753143</v>
      </c>
      <c r="T22" s="37"/>
      <c r="U22" s="37"/>
      <c r="V22" s="37">
        <f>E22-S22</f>
        <v>1564.3755529999999</v>
      </c>
      <c r="W22" s="37"/>
      <c r="X22" s="40" t="s">
        <v>124</v>
      </c>
      <c r="Y22" s="40"/>
      <c r="Z22" s="40"/>
    </row>
    <row r="23" spans="1:26" ht="15">
      <c r="A23" s="38"/>
      <c r="B23" s="38"/>
      <c r="C23" s="40"/>
      <c r="D23" s="40"/>
      <c r="E23" s="37"/>
      <c r="F23" s="37"/>
      <c r="G23" s="37"/>
      <c r="H23" s="37"/>
      <c r="I23" s="37"/>
      <c r="J23" s="37"/>
      <c r="K23" s="39"/>
      <c r="L23" s="39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40"/>
      <c r="Y23" s="40"/>
      <c r="Z23" s="40"/>
    </row>
    <row r="24" spans="1:26" ht="15">
      <c r="A24" s="38"/>
      <c r="B24" s="38"/>
      <c r="C24" s="40"/>
      <c r="D24" s="40"/>
      <c r="E24" s="37"/>
      <c r="F24" s="37"/>
      <c r="G24" s="37"/>
      <c r="H24" s="37"/>
      <c r="I24" s="37"/>
      <c r="J24" s="37"/>
      <c r="K24" s="39"/>
      <c r="L24" s="39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40"/>
      <c r="Y24" s="40"/>
      <c r="Z24" s="40"/>
    </row>
    <row r="25" spans="1:26" ht="15">
      <c r="A25" s="38"/>
      <c r="B25" s="38"/>
      <c r="C25" s="40"/>
      <c r="D25" s="40"/>
      <c r="E25" s="37"/>
      <c r="F25" s="37"/>
      <c r="G25" s="37"/>
      <c r="H25" s="37"/>
      <c r="I25" s="37"/>
      <c r="J25" s="37"/>
      <c r="K25" s="39"/>
      <c r="L25" s="39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40"/>
      <c r="Y25" s="40"/>
      <c r="Z25" s="40"/>
    </row>
    <row r="26" spans="1:26" ht="15">
      <c r="A26" s="38" t="s">
        <v>125</v>
      </c>
      <c r="B26" s="38"/>
      <c r="C26" s="40">
        <v>0.7314</v>
      </c>
      <c r="D26" s="40"/>
      <c r="E26" s="37">
        <f>C26*29610.52</f>
        <v>21657.134328</v>
      </c>
      <c r="F26" s="37"/>
      <c r="G26" s="37">
        <v>1733</v>
      </c>
      <c r="H26" s="37"/>
      <c r="I26" s="37">
        <f>SUM('Operating Costs'!K4:K7)</f>
        <v>1956.169599</v>
      </c>
      <c r="J26" s="37"/>
      <c r="K26" s="39">
        <v>4630.84</v>
      </c>
      <c r="L26" s="39"/>
      <c r="M26" s="37">
        <v>3582.08</v>
      </c>
      <c r="N26" s="37"/>
      <c r="O26" s="37">
        <f>'Operating Costs'!K11</f>
        <v>167.16375</v>
      </c>
      <c r="P26" s="37"/>
      <c r="Q26" s="37">
        <f>'Operating Costs'!K12</f>
        <v>501.49125</v>
      </c>
      <c r="R26" s="37"/>
      <c r="S26" s="37">
        <f>Q26+O26+M26+K26+I26+G26</f>
        <v>12570.744599000001</v>
      </c>
      <c r="T26" s="37"/>
      <c r="U26" s="37"/>
      <c r="V26" s="37">
        <f>E26-S26</f>
        <v>9086.389728999999</v>
      </c>
      <c r="W26" s="37"/>
      <c r="X26" s="38" t="s">
        <v>126</v>
      </c>
      <c r="Y26" s="38"/>
      <c r="Z26" s="38"/>
    </row>
    <row r="27" spans="1:26" ht="15">
      <c r="A27" s="38"/>
      <c r="B27" s="38"/>
      <c r="C27" s="40"/>
      <c r="D27" s="40"/>
      <c r="E27" s="37"/>
      <c r="F27" s="37"/>
      <c r="G27" s="37"/>
      <c r="H27" s="37"/>
      <c r="I27" s="37"/>
      <c r="J27" s="37"/>
      <c r="K27" s="39"/>
      <c r="L27" s="39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8"/>
      <c r="Y27" s="38"/>
      <c r="Z27" s="38"/>
    </row>
    <row r="28" spans="1:26" ht="15">
      <c r="A28" s="38"/>
      <c r="B28" s="38"/>
      <c r="C28" s="40"/>
      <c r="D28" s="40"/>
      <c r="E28" s="37"/>
      <c r="F28" s="37"/>
      <c r="G28" s="37"/>
      <c r="H28" s="37"/>
      <c r="I28" s="37"/>
      <c r="J28" s="37"/>
      <c r="K28" s="39"/>
      <c r="L28" s="39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8"/>
      <c r="Y28" s="38"/>
      <c r="Z28" s="38"/>
    </row>
    <row r="29" spans="1:26" ht="15">
      <c r="A29" s="38"/>
      <c r="B29" s="38"/>
      <c r="C29" s="40"/>
      <c r="D29" s="40"/>
      <c r="E29" s="37"/>
      <c r="F29" s="37"/>
      <c r="G29" s="37"/>
      <c r="H29" s="37"/>
      <c r="I29" s="37"/>
      <c r="J29" s="37"/>
      <c r="K29" s="39"/>
      <c r="L29" s="39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8"/>
      <c r="Y29" s="38"/>
      <c r="Z29" s="38"/>
    </row>
    <row r="30" spans="1:26" ht="15">
      <c r="A30" s="38" t="s">
        <v>127</v>
      </c>
      <c r="B30" s="38"/>
      <c r="C30" s="40">
        <v>3.66</v>
      </c>
      <c r="D30" s="40"/>
      <c r="E30" s="37">
        <f>C30*29610.52</f>
        <v>108374.5032</v>
      </c>
      <c r="F30" s="37"/>
      <c r="G30" s="37">
        <v>1733</v>
      </c>
      <c r="H30" s="37"/>
      <c r="I30" s="37">
        <f>SUM('Operating Costs'!K4:K7)</f>
        <v>1956.169599</v>
      </c>
      <c r="J30" s="37"/>
      <c r="K30" s="39">
        <v>13652.49</v>
      </c>
      <c r="L30" s="39"/>
      <c r="M30" s="37">
        <v>3582.08</v>
      </c>
      <c r="N30" s="37"/>
      <c r="O30" s="37">
        <f>'Operating Costs'!K11</f>
        <v>167.16375</v>
      </c>
      <c r="P30" s="37"/>
      <c r="Q30" s="37">
        <f>'Operating Costs'!K12</f>
        <v>501.49125</v>
      </c>
      <c r="R30" s="37"/>
      <c r="S30" s="37">
        <f>Q30+O30+M30+K30+I30+G30</f>
        <v>21592.394599</v>
      </c>
      <c r="T30" s="37"/>
      <c r="U30" s="37"/>
      <c r="V30" s="37">
        <f>E30-S30</f>
        <v>86782.10860100001</v>
      </c>
      <c r="W30" s="37"/>
      <c r="X30" s="38" t="s">
        <v>128</v>
      </c>
      <c r="Y30" s="38"/>
      <c r="Z30" s="38"/>
    </row>
    <row r="31" spans="1:26" ht="15">
      <c r="A31" s="38"/>
      <c r="B31" s="38"/>
      <c r="C31" s="40"/>
      <c r="D31" s="40"/>
      <c r="E31" s="37"/>
      <c r="F31" s="37"/>
      <c r="G31" s="37"/>
      <c r="H31" s="37"/>
      <c r="I31" s="37"/>
      <c r="J31" s="37"/>
      <c r="K31" s="39"/>
      <c r="L31" s="39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8"/>
      <c r="Y31" s="38"/>
      <c r="Z31" s="38"/>
    </row>
    <row r="32" spans="1:26" ht="15">
      <c r="A32" s="38"/>
      <c r="B32" s="38"/>
      <c r="C32" s="40"/>
      <c r="D32" s="40"/>
      <c r="E32" s="37"/>
      <c r="F32" s="37"/>
      <c r="G32" s="37"/>
      <c r="H32" s="37"/>
      <c r="I32" s="37"/>
      <c r="J32" s="37"/>
      <c r="K32" s="39"/>
      <c r="L32" s="39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8"/>
      <c r="Y32" s="38"/>
      <c r="Z32" s="38"/>
    </row>
    <row r="33" spans="1:26" ht="15">
      <c r="A33" s="38"/>
      <c r="B33" s="38"/>
      <c r="C33" s="40"/>
      <c r="D33" s="40"/>
      <c r="E33" s="37"/>
      <c r="F33" s="37"/>
      <c r="G33" s="37"/>
      <c r="H33" s="37"/>
      <c r="I33" s="37"/>
      <c r="J33" s="37"/>
      <c r="K33" s="39"/>
      <c r="L33" s="39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8"/>
      <c r="Y33" s="38"/>
      <c r="Z33" s="38"/>
    </row>
    <row r="34" spans="1:26" ht="15">
      <c r="A34" s="38" t="s">
        <v>129</v>
      </c>
      <c r="B34" s="38"/>
      <c r="C34" s="40">
        <v>0.5796</v>
      </c>
      <c r="D34" s="40"/>
      <c r="E34" s="37">
        <f>C34*217724.4</f>
        <v>126193.06224</v>
      </c>
      <c r="F34" s="37"/>
      <c r="G34" s="37">
        <v>1733</v>
      </c>
      <c r="H34" s="37"/>
      <c r="I34" s="37">
        <f>SUM('Operating Costs'!F4:F7)</f>
        <v>1033.018143</v>
      </c>
      <c r="J34" s="37"/>
      <c r="K34" s="39">
        <v>41713.43</v>
      </c>
      <c r="L34" s="39"/>
      <c r="M34" s="37">
        <v>3582.08</v>
      </c>
      <c r="N34" s="37"/>
      <c r="O34" s="37">
        <f>'Operating Costs'!F11</f>
        <v>167.16375</v>
      </c>
      <c r="P34" s="37"/>
      <c r="Q34" s="37">
        <f>'Operating Costs'!F12</f>
        <v>501.49125</v>
      </c>
      <c r="R34" s="37"/>
      <c r="S34" s="37">
        <f>Q34+O34+M34+K34+I34+G34</f>
        <v>48730.183143</v>
      </c>
      <c r="T34" s="37"/>
      <c r="U34" s="37"/>
      <c r="V34" s="37">
        <f>E34-S34</f>
        <v>77462.879097</v>
      </c>
      <c r="W34" s="37"/>
      <c r="X34" s="38" t="s">
        <v>130</v>
      </c>
      <c r="Y34" s="38"/>
      <c r="Z34" s="38"/>
    </row>
    <row r="35" spans="1:26" ht="15">
      <c r="A35" s="38"/>
      <c r="B35" s="38"/>
      <c r="C35" s="40"/>
      <c r="D35" s="40"/>
      <c r="E35" s="37"/>
      <c r="F35" s="37"/>
      <c r="G35" s="37"/>
      <c r="H35" s="37"/>
      <c r="I35" s="37"/>
      <c r="J35" s="37"/>
      <c r="K35" s="39"/>
      <c r="L35" s="39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8"/>
      <c r="Y35" s="38"/>
      <c r="Z35" s="38"/>
    </row>
    <row r="36" spans="1:26" ht="15">
      <c r="A36" s="38"/>
      <c r="B36" s="38"/>
      <c r="C36" s="40"/>
      <c r="D36" s="40"/>
      <c r="E36" s="37"/>
      <c r="F36" s="37"/>
      <c r="G36" s="37"/>
      <c r="H36" s="37"/>
      <c r="I36" s="37"/>
      <c r="J36" s="37"/>
      <c r="K36" s="39"/>
      <c r="L36" s="39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8"/>
      <c r="Y36" s="38"/>
      <c r="Z36" s="38"/>
    </row>
    <row r="37" spans="1:26" ht="15">
      <c r="A37" s="38"/>
      <c r="B37" s="38"/>
      <c r="C37" s="40"/>
      <c r="D37" s="40"/>
      <c r="E37" s="37"/>
      <c r="F37" s="37"/>
      <c r="G37" s="37"/>
      <c r="H37" s="37"/>
      <c r="I37" s="37"/>
      <c r="J37" s="37"/>
      <c r="K37" s="39"/>
      <c r="L37" s="39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8"/>
      <c r="Y37" s="38"/>
      <c r="Z37" s="38"/>
    </row>
    <row r="38" spans="1:26" ht="15">
      <c r="A38" s="38" t="s">
        <v>131</v>
      </c>
      <c r="B38" s="38"/>
      <c r="C38" s="40">
        <v>2.9</v>
      </c>
      <c r="D38" s="40"/>
      <c r="E38" s="37">
        <f>C38*217724.4</f>
        <v>631400.76</v>
      </c>
      <c r="F38" s="37"/>
      <c r="G38" s="37">
        <v>1733</v>
      </c>
      <c r="H38" s="37"/>
      <c r="I38" s="37">
        <f>SUM('Operating Costs'!F4:F7)</f>
        <v>1033.018143</v>
      </c>
      <c r="J38" s="37"/>
      <c r="K38" s="39">
        <f>(E38-G38-I38-M38-O38-Q38)*0.3547</f>
        <v>221469.00723217797</v>
      </c>
      <c r="L38" s="39"/>
      <c r="M38" s="37">
        <v>3582.08</v>
      </c>
      <c r="N38" s="37"/>
      <c r="O38" s="37">
        <f>'Operating Costs'!F11</f>
        <v>167.16375</v>
      </c>
      <c r="P38" s="37"/>
      <c r="Q38" s="37">
        <f>'Operating Costs'!F12</f>
        <v>501.49125</v>
      </c>
      <c r="R38" s="37"/>
      <c r="S38" s="37">
        <f>G38+I38+K38+M38+O38+Q38</f>
        <v>228485.76037517795</v>
      </c>
      <c r="T38" s="37"/>
      <c r="U38" s="37"/>
      <c r="V38" s="37">
        <f>E38-S38</f>
        <v>402914.99962482206</v>
      </c>
      <c r="W38" s="37"/>
      <c r="X38" s="38" t="s">
        <v>132</v>
      </c>
      <c r="Y38" s="38"/>
      <c r="Z38" s="38"/>
    </row>
    <row r="39" spans="1:26" ht="15">
      <c r="A39" s="38"/>
      <c r="B39" s="38"/>
      <c r="C39" s="40"/>
      <c r="D39" s="40"/>
      <c r="E39" s="37"/>
      <c r="F39" s="37"/>
      <c r="G39" s="37"/>
      <c r="H39" s="37"/>
      <c r="I39" s="37"/>
      <c r="J39" s="37"/>
      <c r="K39" s="39"/>
      <c r="L39" s="39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8"/>
      <c r="Y39" s="38"/>
      <c r="Z39" s="38"/>
    </row>
    <row r="40" spans="1:26" ht="15">
      <c r="A40" s="38"/>
      <c r="B40" s="38"/>
      <c r="C40" s="40"/>
      <c r="D40" s="40"/>
      <c r="E40" s="37"/>
      <c r="F40" s="37"/>
      <c r="G40" s="37"/>
      <c r="H40" s="37"/>
      <c r="I40" s="37"/>
      <c r="J40" s="37"/>
      <c r="K40" s="39"/>
      <c r="L40" s="39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8"/>
      <c r="Y40" s="38"/>
      <c r="Z40" s="38"/>
    </row>
    <row r="41" spans="1:26" ht="15">
      <c r="A41" s="38"/>
      <c r="B41" s="38"/>
      <c r="C41" s="40"/>
      <c r="D41" s="40"/>
      <c r="E41" s="37"/>
      <c r="F41" s="37"/>
      <c r="G41" s="37"/>
      <c r="H41" s="37"/>
      <c r="I41" s="37"/>
      <c r="J41" s="37"/>
      <c r="K41" s="39"/>
      <c r="L41" s="39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8"/>
      <c r="Y41" s="38"/>
      <c r="Z41" s="38"/>
    </row>
    <row r="42" spans="1:26" ht="15">
      <c r="A42" s="38" t="s">
        <v>133</v>
      </c>
      <c r="B42" s="38"/>
      <c r="C42" s="40">
        <v>1.463</v>
      </c>
      <c r="D42" s="40"/>
      <c r="E42" s="37">
        <v>318487.25</v>
      </c>
      <c r="F42" s="37"/>
      <c r="G42" s="37">
        <v>1733</v>
      </c>
      <c r="H42" s="37"/>
      <c r="I42" s="37">
        <f>SUM('Operating Costs'!K4:K7)</f>
        <v>1956.169599</v>
      </c>
      <c r="J42" s="37"/>
      <c r="K42" s="39">
        <f>(E42-G42-I42-M42-O42-Q42)*0.3547</f>
        <v>110150.78871373468</v>
      </c>
      <c r="L42" s="39"/>
      <c r="M42" s="37">
        <v>3583.08</v>
      </c>
      <c r="N42" s="37"/>
      <c r="O42" s="37">
        <f>'Operating Costs'!K11</f>
        <v>167.16375</v>
      </c>
      <c r="P42" s="37"/>
      <c r="Q42" s="37">
        <f>'Operating Costs'!K12</f>
        <v>501.49125</v>
      </c>
      <c r="R42" s="37"/>
      <c r="S42" s="37">
        <f>Q42+O42+M42+K42+I42+G42</f>
        <v>118091.69331273469</v>
      </c>
      <c r="T42" s="37"/>
      <c r="U42" s="37"/>
      <c r="V42" s="37">
        <f>E42-S42</f>
        <v>200395.5566872653</v>
      </c>
      <c r="W42" s="37"/>
      <c r="X42" s="38" t="s">
        <v>134</v>
      </c>
      <c r="Y42" s="38"/>
      <c r="Z42" s="38"/>
    </row>
    <row r="43" spans="1:26" ht="15">
      <c r="A43" s="38"/>
      <c r="B43" s="38"/>
      <c r="C43" s="40"/>
      <c r="D43" s="40"/>
      <c r="E43" s="37"/>
      <c r="F43" s="37"/>
      <c r="G43" s="37"/>
      <c r="H43" s="37"/>
      <c r="I43" s="37"/>
      <c r="J43" s="37"/>
      <c r="K43" s="39"/>
      <c r="L43" s="39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8"/>
      <c r="Y43" s="38"/>
      <c r="Z43" s="38"/>
    </row>
    <row r="44" spans="1:26" ht="15">
      <c r="A44" s="38"/>
      <c r="B44" s="38"/>
      <c r="C44" s="40"/>
      <c r="D44" s="40"/>
      <c r="E44" s="37"/>
      <c r="F44" s="37"/>
      <c r="G44" s="37"/>
      <c r="H44" s="37"/>
      <c r="I44" s="37"/>
      <c r="J44" s="37"/>
      <c r="K44" s="39"/>
      <c r="L44" s="39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8"/>
      <c r="Y44" s="38"/>
      <c r="Z44" s="38"/>
    </row>
    <row r="45" spans="1:26" ht="15">
      <c r="A45" s="38"/>
      <c r="B45" s="38"/>
      <c r="C45" s="40"/>
      <c r="D45" s="40"/>
      <c r="E45" s="37"/>
      <c r="F45" s="37"/>
      <c r="G45" s="37"/>
      <c r="H45" s="37"/>
      <c r="I45" s="37"/>
      <c r="J45" s="37"/>
      <c r="K45" s="39"/>
      <c r="L45" s="39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8"/>
      <c r="Y45" s="38"/>
      <c r="Z45" s="38"/>
    </row>
    <row r="46" spans="1:26" ht="15">
      <c r="A46" s="38" t="s">
        <v>135</v>
      </c>
      <c r="B46" s="38"/>
      <c r="C46" s="40">
        <v>7.31</v>
      </c>
      <c r="D46" s="40"/>
      <c r="E46" s="37">
        <v>692363.59</v>
      </c>
      <c r="F46" s="37"/>
      <c r="G46" s="37">
        <v>1733</v>
      </c>
      <c r="H46" s="37"/>
      <c r="I46" s="37">
        <f>SUM('Operating Costs'!K4:K7)</f>
        <v>1956.169599</v>
      </c>
      <c r="J46" s="37"/>
      <c r="K46" s="39">
        <f>(E46-G46-I46-M46-O46-Q46)*0.3547</f>
        <v>242764.72651173474</v>
      </c>
      <c r="L46" s="39"/>
      <c r="M46" s="37">
        <v>3583.08</v>
      </c>
      <c r="N46" s="37"/>
      <c r="O46" s="37">
        <f>'Operating Costs'!K11</f>
        <v>167.16375</v>
      </c>
      <c r="P46" s="37"/>
      <c r="Q46" s="37">
        <f>'Operating Costs'!K12</f>
        <v>501.49125</v>
      </c>
      <c r="R46" s="37"/>
      <c r="S46" s="37">
        <f>Q46+O46+M46+K46+I46+G46</f>
        <v>250705.6311107347</v>
      </c>
      <c r="T46" s="37"/>
      <c r="U46" s="37"/>
      <c r="V46" s="37">
        <f>E46-S46</f>
        <v>441657.95888926525</v>
      </c>
      <c r="W46" s="37"/>
      <c r="X46" s="38" t="s">
        <v>136</v>
      </c>
      <c r="Y46" s="38"/>
      <c r="Z46" s="38"/>
    </row>
    <row r="47" spans="1:26" ht="15">
      <c r="A47" s="38"/>
      <c r="B47" s="38"/>
      <c r="C47" s="40"/>
      <c r="D47" s="40"/>
      <c r="E47" s="37"/>
      <c r="F47" s="37"/>
      <c r="G47" s="37"/>
      <c r="H47" s="37"/>
      <c r="I47" s="37"/>
      <c r="J47" s="37"/>
      <c r="K47" s="39"/>
      <c r="L47" s="39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8"/>
      <c r="Y47" s="38"/>
      <c r="Z47" s="38"/>
    </row>
    <row r="48" spans="1:26" ht="15">
      <c r="A48" s="38"/>
      <c r="B48" s="38"/>
      <c r="C48" s="40"/>
      <c r="D48" s="40"/>
      <c r="E48" s="37"/>
      <c r="F48" s="37"/>
      <c r="G48" s="37"/>
      <c r="H48" s="37"/>
      <c r="I48" s="37"/>
      <c r="J48" s="37"/>
      <c r="K48" s="39"/>
      <c r="L48" s="39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8"/>
      <c r="Y48" s="38"/>
      <c r="Z48" s="38"/>
    </row>
    <row r="49" spans="1:26" ht="15">
      <c r="A49" s="38"/>
      <c r="B49" s="38"/>
      <c r="C49" s="40"/>
      <c r="D49" s="40"/>
      <c r="E49" s="37"/>
      <c r="F49" s="37"/>
      <c r="G49" s="37"/>
      <c r="H49" s="37"/>
      <c r="I49" s="37"/>
      <c r="J49" s="37"/>
      <c r="K49" s="39"/>
      <c r="L49" s="39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8"/>
      <c r="Y49" s="38"/>
      <c r="Z49" s="38"/>
    </row>
    <row r="50" spans="3:16" ht="15">
      <c r="C50" s="28"/>
      <c r="D50" s="28"/>
      <c r="O50" s="30"/>
      <c r="P50" s="30"/>
    </row>
    <row r="51" spans="3:16" ht="15">
      <c r="C51" s="28"/>
      <c r="D51" s="28"/>
      <c r="O51" s="30"/>
      <c r="P51" s="30"/>
    </row>
    <row r="52" spans="15:16" ht="15">
      <c r="O52" s="30"/>
      <c r="P52" s="30"/>
    </row>
    <row r="53" spans="15:16" ht="15">
      <c r="O53" s="30"/>
      <c r="P53" s="30"/>
    </row>
    <row r="54" spans="15:16" ht="15">
      <c r="O54" s="30"/>
      <c r="P54" s="30"/>
    </row>
    <row r="55" spans="15:16" ht="15">
      <c r="O55" s="30"/>
      <c r="P55" s="30"/>
    </row>
    <row r="56" spans="15:16" ht="15">
      <c r="O56" s="30"/>
      <c r="P56" s="30"/>
    </row>
    <row r="57" spans="15:16" ht="15">
      <c r="O57" s="30"/>
      <c r="P57" s="30"/>
    </row>
    <row r="58" spans="15:16" ht="15">
      <c r="O58" s="30"/>
      <c r="P58" s="30"/>
    </row>
    <row r="59" spans="15:16" ht="15">
      <c r="O59" s="30"/>
      <c r="P59" s="30"/>
    </row>
    <row r="60" spans="15:16" ht="15">
      <c r="O60" s="30"/>
      <c r="P60" s="30"/>
    </row>
    <row r="61" spans="15:16" ht="15">
      <c r="O61" s="30"/>
      <c r="P61" s="30"/>
    </row>
    <row r="62" spans="15:16" ht="15">
      <c r="O62" s="30"/>
      <c r="P62" s="30"/>
    </row>
    <row r="63" spans="15:16" ht="15">
      <c r="O63" s="30"/>
      <c r="P63" s="30"/>
    </row>
    <row r="64" spans="15:16" ht="15">
      <c r="O64" s="30"/>
      <c r="P64" s="30"/>
    </row>
    <row r="65" spans="15:16" ht="15">
      <c r="O65" s="30"/>
      <c r="P65" s="30"/>
    </row>
    <row r="66" spans="15:16" ht="15">
      <c r="O66" s="30"/>
      <c r="P66" s="30"/>
    </row>
  </sheetData>
  <sheetProtection/>
  <mergeCells count="156">
    <mergeCell ref="A1:B1"/>
    <mergeCell ref="C1:D1"/>
    <mergeCell ref="E1:F1"/>
    <mergeCell ref="G1:H1"/>
    <mergeCell ref="Q1:R1"/>
    <mergeCell ref="S1:U1"/>
    <mergeCell ref="V1:W1"/>
    <mergeCell ref="X1:Z1"/>
    <mergeCell ref="I1:J1"/>
    <mergeCell ref="K1:L1"/>
    <mergeCell ref="M1:N1"/>
    <mergeCell ref="O1:P1"/>
    <mergeCell ref="V2:W5"/>
    <mergeCell ref="X2:Z5"/>
    <mergeCell ref="I2:J5"/>
    <mergeCell ref="K2:L5"/>
    <mergeCell ref="M2:N5"/>
    <mergeCell ref="O2:P5"/>
    <mergeCell ref="A6:B9"/>
    <mergeCell ref="C6:D9"/>
    <mergeCell ref="E6:F9"/>
    <mergeCell ref="G6:H9"/>
    <mergeCell ref="Q2:R5"/>
    <mergeCell ref="S2:U5"/>
    <mergeCell ref="A2:B5"/>
    <mergeCell ref="C2:D5"/>
    <mergeCell ref="E2:F5"/>
    <mergeCell ref="G2:H5"/>
    <mergeCell ref="Q6:R9"/>
    <mergeCell ref="S6:U9"/>
    <mergeCell ref="V6:W9"/>
    <mergeCell ref="X6:Z9"/>
    <mergeCell ref="I6:J9"/>
    <mergeCell ref="K6:L9"/>
    <mergeCell ref="M6:N9"/>
    <mergeCell ref="O6:P9"/>
    <mergeCell ref="V10:W13"/>
    <mergeCell ref="X10:Z13"/>
    <mergeCell ref="I10:J13"/>
    <mergeCell ref="K10:L13"/>
    <mergeCell ref="M10:N13"/>
    <mergeCell ref="O10:P13"/>
    <mergeCell ref="A14:B17"/>
    <mergeCell ref="C14:D17"/>
    <mergeCell ref="E14:F17"/>
    <mergeCell ref="G14:H17"/>
    <mergeCell ref="Q10:R13"/>
    <mergeCell ref="S10:U13"/>
    <mergeCell ref="A10:B13"/>
    <mergeCell ref="C10:D13"/>
    <mergeCell ref="E10:F13"/>
    <mergeCell ref="G10:H13"/>
    <mergeCell ref="Q14:R17"/>
    <mergeCell ref="S14:U17"/>
    <mergeCell ref="V14:W17"/>
    <mergeCell ref="X14:Z17"/>
    <mergeCell ref="I14:J17"/>
    <mergeCell ref="K14:L17"/>
    <mergeCell ref="M14:N17"/>
    <mergeCell ref="O14:P17"/>
    <mergeCell ref="V18:W21"/>
    <mergeCell ref="X18:Z21"/>
    <mergeCell ref="I18:J21"/>
    <mergeCell ref="K18:L21"/>
    <mergeCell ref="M18:N21"/>
    <mergeCell ref="O18:P21"/>
    <mergeCell ref="A22:B25"/>
    <mergeCell ref="C22:D25"/>
    <mergeCell ref="E22:F25"/>
    <mergeCell ref="G22:H25"/>
    <mergeCell ref="Q18:R21"/>
    <mergeCell ref="S18:U21"/>
    <mergeCell ref="A18:B21"/>
    <mergeCell ref="C18:D21"/>
    <mergeCell ref="E18:F21"/>
    <mergeCell ref="G18:H21"/>
    <mergeCell ref="Q22:R25"/>
    <mergeCell ref="S22:U25"/>
    <mergeCell ref="V22:W25"/>
    <mergeCell ref="X22:Z25"/>
    <mergeCell ref="I22:J25"/>
    <mergeCell ref="K22:L25"/>
    <mergeCell ref="M22:N25"/>
    <mergeCell ref="O22:P25"/>
    <mergeCell ref="V26:W29"/>
    <mergeCell ref="X26:Z29"/>
    <mergeCell ref="I26:J29"/>
    <mergeCell ref="K26:L29"/>
    <mergeCell ref="M26:N29"/>
    <mergeCell ref="O26:P29"/>
    <mergeCell ref="A30:B33"/>
    <mergeCell ref="C30:D33"/>
    <mergeCell ref="E30:F33"/>
    <mergeCell ref="G30:H33"/>
    <mergeCell ref="Q26:R29"/>
    <mergeCell ref="S26:U29"/>
    <mergeCell ref="A26:B29"/>
    <mergeCell ref="C26:D29"/>
    <mergeCell ref="E26:F29"/>
    <mergeCell ref="G26:H29"/>
    <mergeCell ref="Q30:R33"/>
    <mergeCell ref="S30:U33"/>
    <mergeCell ref="V30:W33"/>
    <mergeCell ref="X30:Z33"/>
    <mergeCell ref="I30:J33"/>
    <mergeCell ref="K30:L33"/>
    <mergeCell ref="M30:N33"/>
    <mergeCell ref="O30:P33"/>
    <mergeCell ref="V34:W37"/>
    <mergeCell ref="X34:Z37"/>
    <mergeCell ref="I34:J37"/>
    <mergeCell ref="K34:L37"/>
    <mergeCell ref="M34:N37"/>
    <mergeCell ref="O34:P37"/>
    <mergeCell ref="A38:B41"/>
    <mergeCell ref="C38:D41"/>
    <mergeCell ref="E38:F41"/>
    <mergeCell ref="G38:H41"/>
    <mergeCell ref="Q34:R37"/>
    <mergeCell ref="S34:U37"/>
    <mergeCell ref="A34:B37"/>
    <mergeCell ref="C34:D37"/>
    <mergeCell ref="E34:F37"/>
    <mergeCell ref="G34:H37"/>
    <mergeCell ref="Q38:R41"/>
    <mergeCell ref="S38:U41"/>
    <mergeCell ref="V38:W41"/>
    <mergeCell ref="X38:Z41"/>
    <mergeCell ref="I38:J41"/>
    <mergeCell ref="K38:L41"/>
    <mergeCell ref="M38:N41"/>
    <mergeCell ref="O38:P41"/>
    <mergeCell ref="V42:W45"/>
    <mergeCell ref="X42:Z45"/>
    <mergeCell ref="I42:J45"/>
    <mergeCell ref="K42:L45"/>
    <mergeCell ref="M42:N45"/>
    <mergeCell ref="O42:P45"/>
    <mergeCell ref="A46:B49"/>
    <mergeCell ref="C46:D49"/>
    <mergeCell ref="E46:F49"/>
    <mergeCell ref="G46:H49"/>
    <mergeCell ref="Q42:R45"/>
    <mergeCell ref="S42:U45"/>
    <mergeCell ref="A42:B45"/>
    <mergeCell ref="C42:D45"/>
    <mergeCell ref="E42:F45"/>
    <mergeCell ref="G42:H45"/>
    <mergeCell ref="Q46:R49"/>
    <mergeCell ref="S46:U49"/>
    <mergeCell ref="V46:W49"/>
    <mergeCell ref="X46:Z49"/>
    <mergeCell ref="I46:J49"/>
    <mergeCell ref="K46:L49"/>
    <mergeCell ref="M46:N49"/>
    <mergeCell ref="O46:P4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47"/>
  <sheetViews>
    <sheetView tabSelected="1" zoomScalePageLayoutView="0" workbookViewId="0" topLeftCell="C1">
      <selection activeCell="O25" sqref="O25:P25"/>
    </sheetView>
  </sheetViews>
  <sheetFormatPr defaultColWidth="9.140625" defaultRowHeight="15"/>
  <cols>
    <col min="22" max="22" width="10.28125" style="0" bestFit="1" customWidth="1"/>
  </cols>
  <sheetData>
    <row r="1" spans="5:20" ht="15">
      <c r="E1" s="40" t="s">
        <v>138</v>
      </c>
      <c r="F1" s="40"/>
      <c r="G1" s="40" t="s">
        <v>139</v>
      </c>
      <c r="H1" s="40"/>
      <c r="I1" s="40" t="s">
        <v>140</v>
      </c>
      <c r="J1" s="40"/>
      <c r="K1" s="40" t="s">
        <v>141</v>
      </c>
      <c r="L1" s="40"/>
      <c r="M1" s="40" t="s">
        <v>142</v>
      </c>
      <c r="N1" s="40"/>
      <c r="O1" s="40" t="s">
        <v>143</v>
      </c>
      <c r="P1" s="40"/>
      <c r="Q1" s="40" t="s">
        <v>144</v>
      </c>
      <c r="R1" s="40"/>
      <c r="S1" s="40" t="s">
        <v>145</v>
      </c>
      <c r="T1" s="40"/>
    </row>
    <row r="2" spans="1:4" ht="15">
      <c r="A2" s="47" t="s">
        <v>146</v>
      </c>
      <c r="B2" s="47"/>
      <c r="C2" s="47"/>
      <c r="D2" s="47"/>
    </row>
    <row r="3" spans="1:4" ht="15" customHeight="1">
      <c r="A3" s="44" t="s">
        <v>147</v>
      </c>
      <c r="B3" s="44"/>
      <c r="C3" s="44"/>
      <c r="D3" s="44"/>
    </row>
    <row r="4" spans="1:20" ht="15">
      <c r="A4" s="31"/>
      <c r="B4" s="40" t="s">
        <v>148</v>
      </c>
      <c r="C4" s="40"/>
      <c r="D4" s="40"/>
      <c r="E4" s="42">
        <v>0</v>
      </c>
      <c r="F4" s="42"/>
      <c r="G4" s="42">
        <v>0</v>
      </c>
      <c r="H4" s="42"/>
      <c r="I4" s="42">
        <v>0</v>
      </c>
      <c r="J4" s="42"/>
      <c r="K4" s="42">
        <v>0</v>
      </c>
      <c r="L4" s="42"/>
      <c r="M4" s="42">
        <f>Products!E2*60+Products!E22*60+Products!E34*15</f>
        <v>2557000.65096</v>
      </c>
      <c r="N4" s="42"/>
      <c r="O4" s="42">
        <f>Products!E2*91+Products!E22*91+Products!E34*18</f>
        <v>3278700.6083159996</v>
      </c>
      <c r="P4" s="42"/>
      <c r="Q4" s="42">
        <f>Products!E2*135+Products!E22*135+Products!E34*30</f>
        <v>5280027.48126</v>
      </c>
      <c r="R4" s="42"/>
      <c r="S4" s="42">
        <f>Q4</f>
        <v>5280027.48126</v>
      </c>
      <c r="T4" s="42"/>
    </row>
    <row r="5" spans="1:20" ht="15">
      <c r="A5" s="35"/>
      <c r="B5" s="40" t="s">
        <v>178</v>
      </c>
      <c r="C5" s="40"/>
      <c r="D5" s="40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42">
        <f>500*300*12.5</f>
        <v>1875000</v>
      </c>
      <c r="T5" s="42"/>
    </row>
    <row r="6" spans="1:20" ht="15">
      <c r="A6" s="44" t="s">
        <v>149</v>
      </c>
      <c r="B6" s="44"/>
      <c r="C6" s="44"/>
      <c r="D6" s="44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</row>
    <row r="7" spans="1:20" ht="15">
      <c r="A7" s="28"/>
      <c r="B7" s="40" t="s">
        <v>150</v>
      </c>
      <c r="C7" s="40"/>
      <c r="D7" s="40"/>
      <c r="E7" s="42">
        <v>0</v>
      </c>
      <c r="F7" s="42"/>
      <c r="G7" s="42">
        <v>-40000</v>
      </c>
      <c r="H7" s="42"/>
      <c r="I7" s="42">
        <v>-100000</v>
      </c>
      <c r="J7" s="42"/>
      <c r="K7" s="42">
        <v>-250000</v>
      </c>
      <c r="L7" s="42"/>
      <c r="M7" s="42">
        <f>-('Project Investment'!B6+'Project Investment'!B10)</f>
        <v>-4613719.5</v>
      </c>
      <c r="N7" s="42"/>
      <c r="O7" s="42">
        <v>-50000</v>
      </c>
      <c r="P7" s="42"/>
      <c r="Q7" s="42">
        <v>-50000</v>
      </c>
      <c r="R7" s="42"/>
      <c r="S7" s="42">
        <v>-50000</v>
      </c>
      <c r="T7" s="42"/>
    </row>
    <row r="8" spans="1:20" ht="15" customHeight="1">
      <c r="A8" s="32"/>
      <c r="B8" s="38" t="s">
        <v>179</v>
      </c>
      <c r="C8" s="38"/>
      <c r="D8" s="38"/>
      <c r="E8" s="42">
        <v>0</v>
      </c>
      <c r="F8" s="42"/>
      <c r="G8" s="42">
        <v>0</v>
      </c>
      <c r="H8" s="42"/>
      <c r="I8" s="42">
        <f>-4000-1000</f>
        <v>-5000</v>
      </c>
      <c r="J8" s="42"/>
      <c r="K8" s="42">
        <f>-16000</f>
        <v>-16000</v>
      </c>
      <c r="L8" s="42"/>
      <c r="M8" s="42">
        <f>-'Project Investment'!B9-'Operating Costs'!G14-16000</f>
        <v>-1679931.8179000001</v>
      </c>
      <c r="N8" s="42"/>
      <c r="O8" s="42">
        <f>M8-16000</f>
        <v>-1695931.8179000001</v>
      </c>
      <c r="P8" s="42"/>
      <c r="Q8" s="42">
        <f>O8</f>
        <v>-1695931.8179000001</v>
      </c>
      <c r="R8" s="42"/>
      <c r="S8" s="42">
        <f>Q8</f>
        <v>-1695931.8179000001</v>
      </c>
      <c r="T8" s="42"/>
    </row>
    <row r="9" spans="1:22" ht="15">
      <c r="A9" s="32"/>
      <c r="B9" s="38"/>
      <c r="C9" s="38"/>
      <c r="D9" s="38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V9" s="36"/>
    </row>
    <row r="10" spans="2:20" ht="15">
      <c r="B10" s="40" t="s">
        <v>151</v>
      </c>
      <c r="C10" s="40"/>
      <c r="D10" s="40"/>
      <c r="E10" s="42">
        <v>0</v>
      </c>
      <c r="F10" s="42"/>
      <c r="G10" s="42">
        <f>-20000*4</f>
        <v>-80000</v>
      </c>
      <c r="H10" s="42"/>
      <c r="I10" s="42">
        <f>-30000*4</f>
        <v>-120000</v>
      </c>
      <c r="J10" s="42"/>
      <c r="K10" s="42">
        <f>I10</f>
        <v>-120000</v>
      </c>
      <c r="L10" s="42"/>
      <c r="M10" s="42">
        <f>-65000*8</f>
        <v>-520000</v>
      </c>
      <c r="N10" s="42"/>
      <c r="O10" s="42">
        <f>M10*1.3</f>
        <v>-676000</v>
      </c>
      <c r="P10" s="42"/>
      <c r="Q10" s="42">
        <f>O10*1.3</f>
        <v>-878800</v>
      </c>
      <c r="R10" s="42"/>
      <c r="S10" s="42">
        <f>Q10*1.3</f>
        <v>-1142440</v>
      </c>
      <c r="T10" s="42"/>
    </row>
    <row r="11" spans="2:20" ht="15">
      <c r="B11" s="40" t="s">
        <v>152</v>
      </c>
      <c r="C11" s="40"/>
      <c r="D11" s="40"/>
      <c r="E11" s="42">
        <f>-E33*0.07</f>
        <v>0</v>
      </c>
      <c r="F11" s="42"/>
      <c r="G11" s="42">
        <v>0</v>
      </c>
      <c r="H11" s="42"/>
      <c r="I11" s="42">
        <f>E33*0.07</f>
        <v>0</v>
      </c>
      <c r="J11" s="42"/>
      <c r="K11" s="42">
        <f>-E38*0.07</f>
        <v>0</v>
      </c>
      <c r="L11" s="42"/>
      <c r="M11" s="42">
        <f>-E33*0.07</f>
        <v>0</v>
      </c>
      <c r="N11" s="42"/>
      <c r="O11" s="42">
        <f>-E38*0.07</f>
        <v>0</v>
      </c>
      <c r="P11" s="42"/>
      <c r="Q11" s="42">
        <f>E33*(-0.07)</f>
        <v>0</v>
      </c>
      <c r="R11" s="42"/>
      <c r="S11" s="42">
        <f>E33*(-0.07)</f>
        <v>0</v>
      </c>
      <c r="T11" s="42"/>
    </row>
    <row r="12" spans="2:20" s="29" customFormat="1" ht="15" customHeight="1">
      <c r="B12" s="45" t="s">
        <v>153</v>
      </c>
      <c r="C12" s="45"/>
      <c r="D12" s="45"/>
      <c r="E12" s="46">
        <v>0</v>
      </c>
      <c r="F12" s="46"/>
      <c r="G12" s="46">
        <v>0</v>
      </c>
      <c r="H12" s="46"/>
      <c r="I12" s="46">
        <v>0</v>
      </c>
      <c r="J12" s="46"/>
      <c r="K12" s="46">
        <v>0</v>
      </c>
      <c r="L12" s="46"/>
      <c r="M12" s="46">
        <f>IF((M4+M7+M8+M10)&lt;0,0,(M4+M7+M8+M10)*0.07)</f>
        <v>0</v>
      </c>
      <c r="N12" s="46"/>
      <c r="O12" s="46">
        <f>IF((O4+O7+O8+O10)&lt;0,0,-(O4+O7+O8+O10)*0.07)</f>
        <v>-59973.81532911997</v>
      </c>
      <c r="P12" s="46"/>
      <c r="Q12" s="46">
        <f>IF((Q4+Q7+Q8+Q10)&lt;0,0,-(Q4+Q7+Q8+Q10)*0.07)</f>
        <v>-185870.6964352</v>
      </c>
      <c r="R12" s="46"/>
      <c r="S12" s="46">
        <f>IF((S4+S7+S8+S10)&lt;0,0,-(S4+S7+S8+S10)*0.07)</f>
        <v>-167415.8964352</v>
      </c>
      <c r="T12" s="46"/>
    </row>
    <row r="13" spans="1:20" ht="15">
      <c r="A13" s="44" t="s">
        <v>154</v>
      </c>
      <c r="B13" s="44"/>
      <c r="C13" s="44"/>
      <c r="D13" s="44"/>
      <c r="E13" s="42">
        <f>(E7+E8+E10+E11)</f>
        <v>0</v>
      </c>
      <c r="F13" s="42"/>
      <c r="G13" s="42">
        <f>G4+G7+G8+G10+G11+G12</f>
        <v>-120000</v>
      </c>
      <c r="H13" s="42"/>
      <c r="I13" s="42">
        <f>I4+I7+I8+I10+I11+I12</f>
        <v>-225000</v>
      </c>
      <c r="J13" s="42"/>
      <c r="K13" s="42">
        <f>K4+K7+K8+K10+K11+K12</f>
        <v>-386000</v>
      </c>
      <c r="L13" s="42"/>
      <c r="M13" s="42">
        <f>M4+M7+M8+M10+M11+M12</f>
        <v>-4256650.66694</v>
      </c>
      <c r="N13" s="42"/>
      <c r="O13" s="42">
        <f>O4+O7+O8+O10+O11+O12</f>
        <v>796794.9750868795</v>
      </c>
      <c r="P13" s="42"/>
      <c r="Q13" s="42">
        <f>Q4+Q7+Q8+Q10+Q11+Q12</f>
        <v>2469424.9669247996</v>
      </c>
      <c r="R13" s="42"/>
      <c r="S13" s="42">
        <f>S4+S7+S8+S10+S11+S12+S5</f>
        <v>4099239.7669247994</v>
      </c>
      <c r="T13" s="42"/>
    </row>
    <row r="15" spans="1:4" ht="15">
      <c r="A15" s="44" t="s">
        <v>155</v>
      </c>
      <c r="B15" s="44"/>
      <c r="C15" s="44"/>
      <c r="D15" s="44"/>
    </row>
    <row r="16" spans="1:20" ht="15">
      <c r="A16" s="44" t="s">
        <v>156</v>
      </c>
      <c r="B16" s="44"/>
      <c r="C16" s="44"/>
      <c r="D16" s="44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</row>
    <row r="17" spans="2:20" ht="15">
      <c r="B17" s="38" t="s">
        <v>157</v>
      </c>
      <c r="C17" s="38"/>
      <c r="D17" s="38"/>
      <c r="E17" s="42">
        <v>0</v>
      </c>
      <c r="F17" s="42"/>
      <c r="G17" s="42">
        <v>0</v>
      </c>
      <c r="H17" s="42"/>
      <c r="I17" s="42">
        <v>0</v>
      </c>
      <c r="J17" s="42"/>
      <c r="K17" s="42">
        <v>0</v>
      </c>
      <c r="L17" s="42"/>
      <c r="M17" s="42">
        <v>0</v>
      </c>
      <c r="N17" s="42"/>
      <c r="O17" s="42">
        <v>0</v>
      </c>
      <c r="P17" s="42"/>
      <c r="Q17" s="42">
        <v>0</v>
      </c>
      <c r="R17" s="42"/>
      <c r="S17" s="42">
        <v>0</v>
      </c>
      <c r="T17" s="42"/>
    </row>
    <row r="18" spans="2:20" ht="15">
      <c r="B18" s="38"/>
      <c r="C18" s="38"/>
      <c r="D18" s="38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</row>
    <row r="19" spans="2:20" ht="15">
      <c r="B19" s="38" t="s">
        <v>158</v>
      </c>
      <c r="C19" s="38"/>
      <c r="D19" s="38"/>
      <c r="E19" s="42">
        <v>0</v>
      </c>
      <c r="F19" s="42"/>
      <c r="G19" s="42">
        <v>0</v>
      </c>
      <c r="H19" s="42"/>
      <c r="I19" s="42">
        <v>0</v>
      </c>
      <c r="J19" s="42"/>
      <c r="K19" s="42">
        <v>0</v>
      </c>
      <c r="L19" s="42"/>
      <c r="M19" s="42">
        <v>0</v>
      </c>
      <c r="N19" s="42"/>
      <c r="O19" s="42">
        <v>0</v>
      </c>
      <c r="P19" s="42"/>
      <c r="Q19" s="42">
        <v>0</v>
      </c>
      <c r="R19" s="42"/>
      <c r="S19" s="42">
        <v>0</v>
      </c>
      <c r="T19" s="42"/>
    </row>
    <row r="20" spans="2:20" ht="15">
      <c r="B20" s="38"/>
      <c r="C20" s="38"/>
      <c r="D20" s="38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2:20" ht="15">
      <c r="B21" s="40" t="s">
        <v>159</v>
      </c>
      <c r="C21" s="40"/>
      <c r="D21" s="40"/>
      <c r="E21" s="42">
        <v>0</v>
      </c>
      <c r="F21" s="42"/>
      <c r="I21" s="42">
        <v>0</v>
      </c>
      <c r="J21" s="42"/>
      <c r="K21" s="42">
        <v>2000000</v>
      </c>
      <c r="L21" s="42"/>
      <c r="M21" s="42">
        <v>0</v>
      </c>
      <c r="N21" s="42"/>
      <c r="O21" s="42">
        <v>0</v>
      </c>
      <c r="P21" s="42"/>
      <c r="Q21" s="42">
        <v>0</v>
      </c>
      <c r="R21" s="42"/>
      <c r="S21" s="42">
        <v>0</v>
      </c>
      <c r="T21" s="42"/>
    </row>
    <row r="22" spans="1:20" ht="15">
      <c r="A22" s="44" t="s">
        <v>160</v>
      </c>
      <c r="B22" s="44"/>
      <c r="C22" s="44"/>
      <c r="D22" s="44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</row>
    <row r="23" spans="2:20" ht="15">
      <c r="B23" s="38" t="s">
        <v>161</v>
      </c>
      <c r="C23" s="38"/>
      <c r="D23" s="38"/>
      <c r="E23" s="42">
        <v>0</v>
      </c>
      <c r="F23" s="42"/>
      <c r="G23" s="42">
        <v>0</v>
      </c>
      <c r="H23" s="42"/>
      <c r="I23" s="42">
        <v>0</v>
      </c>
      <c r="J23" s="42"/>
      <c r="K23" s="42">
        <v>0</v>
      </c>
      <c r="L23" s="42"/>
      <c r="M23" s="42">
        <v>0</v>
      </c>
      <c r="N23" s="42"/>
      <c r="O23" s="42">
        <v>0</v>
      </c>
      <c r="P23" s="42"/>
      <c r="Q23" s="42">
        <v>0</v>
      </c>
      <c r="R23" s="42"/>
      <c r="S23" s="42">
        <v>0</v>
      </c>
      <c r="T23" s="42"/>
    </row>
    <row r="24" spans="2:20" ht="15">
      <c r="B24" s="38"/>
      <c r="C24" s="38"/>
      <c r="D24" s="38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</row>
    <row r="25" spans="2:20" ht="15">
      <c r="B25" s="40" t="s">
        <v>162</v>
      </c>
      <c r="C25" s="40"/>
      <c r="D25" s="40"/>
      <c r="E25" s="42">
        <v>0</v>
      </c>
      <c r="F25" s="42"/>
      <c r="G25" s="42">
        <v>0</v>
      </c>
      <c r="H25" s="42"/>
      <c r="I25" s="42">
        <v>0</v>
      </c>
      <c r="J25" s="42"/>
      <c r="K25" s="42">
        <v>0</v>
      </c>
      <c r="L25" s="42"/>
      <c r="M25" s="42">
        <v>0</v>
      </c>
      <c r="N25" s="42"/>
      <c r="O25" s="42">
        <v>0</v>
      </c>
      <c r="P25" s="42"/>
      <c r="Q25" s="42">
        <v>0</v>
      </c>
      <c r="R25" s="42"/>
      <c r="S25" s="42">
        <v>0</v>
      </c>
      <c r="T25" s="42"/>
    </row>
    <row r="26" spans="2:20" ht="15">
      <c r="B26" s="38" t="s">
        <v>163</v>
      </c>
      <c r="C26" s="38"/>
      <c r="D26" s="38"/>
      <c r="E26" s="42">
        <v>0</v>
      </c>
      <c r="F26" s="42"/>
      <c r="G26" s="42">
        <v>0</v>
      </c>
      <c r="H26" s="42"/>
      <c r="I26" s="42">
        <v>0</v>
      </c>
      <c r="J26" s="42"/>
      <c r="K26" s="42">
        <v>0</v>
      </c>
      <c r="L26" s="42"/>
      <c r="M26" s="42">
        <v>0</v>
      </c>
      <c r="N26" s="42"/>
      <c r="O26" s="42">
        <v>0</v>
      </c>
      <c r="P26" s="42"/>
      <c r="Q26" s="42">
        <v>0</v>
      </c>
      <c r="R26" s="42"/>
      <c r="S26" s="42">
        <v>0</v>
      </c>
      <c r="T26" s="42"/>
    </row>
    <row r="27" spans="2:20" ht="15">
      <c r="B27" s="38"/>
      <c r="C27" s="38"/>
      <c r="D27" s="38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</row>
    <row r="28" spans="1:20" ht="15">
      <c r="A28" s="40" t="s">
        <v>164</v>
      </c>
      <c r="B28" s="40"/>
      <c r="C28" s="40"/>
      <c r="D28" s="40"/>
      <c r="E28" s="42">
        <f>E21</f>
        <v>0</v>
      </c>
      <c r="F28" s="42"/>
      <c r="G28" s="42">
        <v>0</v>
      </c>
      <c r="H28" s="42"/>
      <c r="I28" s="42">
        <v>0</v>
      </c>
      <c r="J28" s="42"/>
      <c r="K28" s="42">
        <v>0</v>
      </c>
      <c r="L28" s="42"/>
      <c r="M28" s="42">
        <v>0</v>
      </c>
      <c r="N28" s="42"/>
      <c r="O28" s="42">
        <v>0</v>
      </c>
      <c r="P28" s="42"/>
      <c r="Q28" s="42">
        <v>0</v>
      </c>
      <c r="R28" s="42"/>
      <c r="S28" s="42">
        <v>0</v>
      </c>
      <c r="T28" s="42"/>
    </row>
    <row r="29" spans="5:20" ht="15"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</row>
    <row r="30" spans="1:20" ht="15">
      <c r="A30" s="44" t="s">
        <v>165</v>
      </c>
      <c r="B30" s="44"/>
      <c r="C30" s="44"/>
      <c r="D30" s="44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</row>
    <row r="31" spans="1:20" ht="15">
      <c r="A31" s="44" t="s">
        <v>166</v>
      </c>
      <c r="B31" s="44"/>
      <c r="C31" s="44"/>
      <c r="D31" s="44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</row>
    <row r="32" spans="2:20" ht="15">
      <c r="B32" s="40" t="s">
        <v>167</v>
      </c>
      <c r="C32" s="40"/>
      <c r="D32" s="40"/>
      <c r="E32" s="42">
        <v>0</v>
      </c>
      <c r="F32" s="42"/>
      <c r="G32" s="42">
        <v>0</v>
      </c>
      <c r="H32" s="42"/>
      <c r="I32" s="42">
        <v>0</v>
      </c>
      <c r="J32" s="42"/>
      <c r="K32" s="42">
        <v>0</v>
      </c>
      <c r="L32" s="42"/>
      <c r="M32" s="42">
        <v>0</v>
      </c>
      <c r="N32" s="42"/>
      <c r="O32" s="42">
        <v>0</v>
      </c>
      <c r="P32" s="42"/>
      <c r="Q32" s="42">
        <v>0</v>
      </c>
      <c r="R32" s="42"/>
      <c r="S32" s="42">
        <v>0</v>
      </c>
      <c r="T32" s="42"/>
    </row>
    <row r="33" spans="2:20" ht="15">
      <c r="B33" s="40" t="s">
        <v>168</v>
      </c>
      <c r="C33" s="40"/>
      <c r="D33" s="40"/>
      <c r="E33" s="42"/>
      <c r="F33" s="42"/>
      <c r="G33" s="43">
        <v>-5000000</v>
      </c>
      <c r="H33" s="43"/>
      <c r="I33" s="42">
        <v>0</v>
      </c>
      <c r="J33" s="42"/>
      <c r="K33" s="42">
        <v>-3000000</v>
      </c>
      <c r="L33" s="42"/>
      <c r="M33" s="42">
        <v>0</v>
      </c>
      <c r="N33" s="42"/>
      <c r="O33" s="42">
        <v>0</v>
      </c>
      <c r="P33" s="42"/>
      <c r="Q33" s="42">
        <v>0</v>
      </c>
      <c r="R33" s="42"/>
      <c r="S33" s="42">
        <v>0</v>
      </c>
      <c r="T33" s="42"/>
    </row>
    <row r="34" spans="1:20" ht="15">
      <c r="A34" s="44" t="s">
        <v>160</v>
      </c>
      <c r="B34" s="44"/>
      <c r="C34" s="44"/>
      <c r="D34" s="44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</row>
    <row r="35" spans="2:20" ht="15">
      <c r="B35" s="40" t="s">
        <v>169</v>
      </c>
      <c r="C35" s="40"/>
      <c r="D35" s="40"/>
      <c r="E35" s="42">
        <v>0</v>
      </c>
      <c r="F35" s="42"/>
      <c r="G35" s="42">
        <v>0</v>
      </c>
      <c r="H35" s="42"/>
      <c r="I35" s="42">
        <v>0</v>
      </c>
      <c r="J35" s="42"/>
      <c r="K35" s="42">
        <v>0</v>
      </c>
      <c r="L35" s="42"/>
      <c r="M35" s="42">
        <v>0</v>
      </c>
      <c r="N35" s="42"/>
      <c r="O35" s="42">
        <v>0</v>
      </c>
      <c r="P35" s="42"/>
      <c r="Q35" s="42">
        <v>0</v>
      </c>
      <c r="R35" s="42"/>
      <c r="S35" s="42">
        <v>0</v>
      </c>
      <c r="T35" s="42"/>
    </row>
    <row r="36" spans="2:20" ht="15">
      <c r="B36" s="40" t="s">
        <v>170</v>
      </c>
      <c r="C36" s="40"/>
      <c r="D36" s="40"/>
      <c r="E36" s="42">
        <v>0</v>
      </c>
      <c r="F36" s="42"/>
      <c r="G36" s="42">
        <f>-E33/7</f>
        <v>0</v>
      </c>
      <c r="H36" s="42"/>
      <c r="I36" s="42">
        <f>-E33/7</f>
        <v>0</v>
      </c>
      <c r="J36" s="42"/>
      <c r="K36" s="42">
        <f>-E33/7</f>
        <v>0</v>
      </c>
      <c r="L36" s="42"/>
      <c r="M36" s="42">
        <f>-E33/7</f>
        <v>0</v>
      </c>
      <c r="N36" s="42"/>
      <c r="O36" s="42">
        <f>-E33/7</f>
        <v>0</v>
      </c>
      <c r="P36" s="42"/>
      <c r="Q36" s="42">
        <f>-E33/7</f>
        <v>0</v>
      </c>
      <c r="R36" s="42"/>
      <c r="S36" s="42">
        <f>-E33/7</f>
        <v>0</v>
      </c>
      <c r="T36" s="42"/>
    </row>
    <row r="37" spans="2:20" s="29" customFormat="1" ht="15">
      <c r="B37" s="45" t="s">
        <v>171</v>
      </c>
      <c r="C37" s="45"/>
      <c r="D37" s="45"/>
      <c r="E37" s="46">
        <v>0</v>
      </c>
      <c r="F37" s="46"/>
      <c r="G37" s="46">
        <v>0</v>
      </c>
      <c r="H37" s="46"/>
      <c r="I37" s="46">
        <v>0</v>
      </c>
      <c r="J37" s="46"/>
      <c r="K37" s="46">
        <v>0</v>
      </c>
      <c r="L37" s="46"/>
      <c r="M37" s="46">
        <v>0</v>
      </c>
      <c r="N37" s="46"/>
      <c r="O37" s="46">
        <v>0</v>
      </c>
      <c r="P37" s="46"/>
      <c r="Q37" s="46">
        <v>0</v>
      </c>
      <c r="R37" s="46"/>
      <c r="S37" s="46">
        <v>0</v>
      </c>
      <c r="T37" s="46"/>
    </row>
    <row r="38" spans="1:20" ht="15">
      <c r="A38" s="44" t="s">
        <v>172</v>
      </c>
      <c r="B38" s="44"/>
      <c r="C38" s="44"/>
      <c r="D38" s="44"/>
      <c r="E38" s="42">
        <f>E33</f>
        <v>0</v>
      </c>
      <c r="F38" s="42"/>
      <c r="G38" s="42">
        <f>(G36+G37)</f>
        <v>0</v>
      </c>
      <c r="H38" s="42"/>
      <c r="I38" s="42">
        <f>I36+I37</f>
        <v>0</v>
      </c>
      <c r="J38" s="42"/>
      <c r="K38" s="42">
        <f>K36+K37</f>
        <v>0</v>
      </c>
      <c r="L38" s="42"/>
      <c r="M38" s="42">
        <f>M36+M37</f>
        <v>0</v>
      </c>
      <c r="N38" s="42"/>
      <c r="O38" s="42">
        <f>O36+O37</f>
        <v>0</v>
      </c>
      <c r="P38" s="42"/>
      <c r="Q38" s="42">
        <f>Q36+Q37</f>
        <v>0</v>
      </c>
      <c r="R38" s="42"/>
      <c r="S38" s="42">
        <f>S36+S37</f>
        <v>0</v>
      </c>
      <c r="T38" s="42"/>
    </row>
    <row r="39" spans="5:20" ht="15"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</row>
    <row r="40" spans="1:20" ht="15">
      <c r="A40" s="44" t="s">
        <v>173</v>
      </c>
      <c r="B40" s="44"/>
      <c r="C40" s="44"/>
      <c r="D40" s="44"/>
      <c r="E40" s="42">
        <f>E13+E38</f>
        <v>0</v>
      </c>
      <c r="F40" s="42"/>
      <c r="G40" s="42">
        <f>G13+G38</f>
        <v>-120000</v>
      </c>
      <c r="H40" s="42"/>
      <c r="I40" s="42">
        <f>I13+I38</f>
        <v>-225000</v>
      </c>
      <c r="J40" s="42"/>
      <c r="K40" s="42">
        <f>K13+K38</f>
        <v>-386000</v>
      </c>
      <c r="L40" s="42"/>
      <c r="M40" s="42">
        <f>M13+M38</f>
        <v>-4256650.66694</v>
      </c>
      <c r="N40" s="42"/>
      <c r="O40" s="42">
        <f>O13+O38</f>
        <v>796794.9750868795</v>
      </c>
      <c r="P40" s="42"/>
      <c r="Q40" s="42">
        <f>Q13+Q38</f>
        <v>2469424.9669247996</v>
      </c>
      <c r="R40" s="42"/>
      <c r="S40" s="42">
        <f>S13+S38</f>
        <v>4099239.7669247994</v>
      </c>
      <c r="T40" s="42"/>
    </row>
    <row r="41" spans="1:20" ht="15">
      <c r="A41" s="44" t="s">
        <v>174</v>
      </c>
      <c r="B41" s="44"/>
      <c r="C41" s="44"/>
      <c r="D41" s="44"/>
      <c r="E41" s="42">
        <v>0</v>
      </c>
      <c r="F41" s="42"/>
      <c r="G41" s="42">
        <f>E40</f>
        <v>0</v>
      </c>
      <c r="H41" s="42"/>
      <c r="I41" s="42">
        <f>G42</f>
        <v>-120000</v>
      </c>
      <c r="J41" s="42"/>
      <c r="K41" s="42">
        <f>I42</f>
        <v>-345000</v>
      </c>
      <c r="L41" s="42"/>
      <c r="M41" s="42">
        <f>K42</f>
        <v>-731000</v>
      </c>
      <c r="N41" s="42"/>
      <c r="O41" s="42">
        <f>M42</f>
        <v>-4987650.66694</v>
      </c>
      <c r="P41" s="42"/>
      <c r="Q41" s="42">
        <f>O42</f>
        <v>-4190855.6918531205</v>
      </c>
      <c r="R41" s="42"/>
      <c r="S41" s="42">
        <f>Q42</f>
        <v>-1721430.7249283209</v>
      </c>
      <c r="T41" s="42"/>
    </row>
    <row r="42" spans="1:20" ht="15">
      <c r="A42" s="44" t="s">
        <v>175</v>
      </c>
      <c r="B42" s="44"/>
      <c r="C42" s="44"/>
      <c r="D42" s="44"/>
      <c r="E42" s="42">
        <f>E40</f>
        <v>0</v>
      </c>
      <c r="F42" s="42"/>
      <c r="G42" s="42">
        <f>G40+G41</f>
        <v>-120000</v>
      </c>
      <c r="H42" s="42"/>
      <c r="I42" s="42">
        <f>I40+I41</f>
        <v>-345000</v>
      </c>
      <c r="J42" s="42"/>
      <c r="K42" s="42">
        <f>K40+K41</f>
        <v>-731000</v>
      </c>
      <c r="L42" s="42"/>
      <c r="M42" s="42">
        <f>M40+M41</f>
        <v>-4987650.66694</v>
      </c>
      <c r="N42" s="42"/>
      <c r="O42" s="42">
        <f>O40+O41</f>
        <v>-4190855.6918531205</v>
      </c>
      <c r="P42" s="42"/>
      <c r="Q42" s="42">
        <f>Q40+Q41</f>
        <v>-1721430.7249283209</v>
      </c>
      <c r="R42" s="42"/>
      <c r="S42" s="42">
        <f>S40+S41</f>
        <v>2377809.0419964786</v>
      </c>
      <c r="T42" s="42"/>
    </row>
    <row r="45" spans="1:20" ht="15">
      <c r="A45" s="44" t="s">
        <v>176</v>
      </c>
      <c r="B45" s="44"/>
      <c r="C45" s="44"/>
      <c r="D45" s="44"/>
      <c r="E45" s="42">
        <f>SUM(E40*(1/(1.55^E48)))</f>
        <v>0</v>
      </c>
      <c r="F45" s="42"/>
      <c r="G45" s="42">
        <f>SUM(G40*(1/(1.55^G47)))</f>
        <v>-120000</v>
      </c>
      <c r="H45" s="42"/>
      <c r="I45" s="42">
        <f>SUM(I40*(1/(1.55^I47)))</f>
        <v>-225000</v>
      </c>
      <c r="J45" s="42"/>
      <c r="K45" s="42">
        <f>SUM(K40*(1/(1.55^K47)))</f>
        <v>-386000</v>
      </c>
      <c r="L45" s="42"/>
      <c r="M45" s="42">
        <f>SUM(M40*(1/(1.55^M47)))</f>
        <v>-4256650.66694</v>
      </c>
      <c r="N45" s="42"/>
      <c r="O45" s="42">
        <f>SUM(O40*(1/(1.55^O47)))</f>
        <v>796794.9750868795</v>
      </c>
      <c r="P45" s="42"/>
      <c r="Q45" s="42">
        <f>SUM(Q40*(1/(1.55^Q47)))</f>
        <v>2469424.9669247996</v>
      </c>
      <c r="R45" s="42"/>
      <c r="S45" s="42">
        <f>SUM(S40*(1/(1.55^S47)))</f>
        <v>4099239.7669247994</v>
      </c>
      <c r="T45" s="42"/>
    </row>
    <row r="46" spans="1:20" ht="15">
      <c r="A46" s="44" t="s">
        <v>177</v>
      </c>
      <c r="B46" s="44"/>
      <c r="C46" s="44"/>
      <c r="D46" s="44"/>
      <c r="E46" s="42">
        <f>E42</f>
        <v>0</v>
      </c>
      <c r="F46" s="42"/>
      <c r="G46" s="42">
        <f>G42</f>
        <v>-120000</v>
      </c>
      <c r="H46" s="42"/>
      <c r="I46" s="42">
        <f>I42</f>
        <v>-345000</v>
      </c>
      <c r="J46" s="42"/>
      <c r="K46" s="42">
        <f>K42</f>
        <v>-731000</v>
      </c>
      <c r="L46" s="42"/>
      <c r="M46" s="42">
        <f>M42</f>
        <v>-4987650.66694</v>
      </c>
      <c r="N46" s="42"/>
      <c r="O46" s="42">
        <f>O42</f>
        <v>-4190855.6918531205</v>
      </c>
      <c r="P46" s="42"/>
      <c r="Q46" s="42">
        <f>Q42</f>
        <v>-1721430.7249283209</v>
      </c>
      <c r="R46" s="42"/>
      <c r="S46" s="42">
        <f>S42</f>
        <v>2377809.0419964786</v>
      </c>
      <c r="T46" s="42"/>
    </row>
    <row r="47" spans="7:8" ht="15">
      <c r="G47" s="28"/>
      <c r="H47" s="28"/>
    </row>
  </sheetData>
  <sheetProtection/>
  <mergeCells count="243">
    <mergeCell ref="S12:T12"/>
    <mergeCell ref="I12:J12"/>
    <mergeCell ref="K12:L12"/>
    <mergeCell ref="M12:N12"/>
    <mergeCell ref="O12:P12"/>
    <mergeCell ref="I13:J13"/>
    <mergeCell ref="K13:L13"/>
    <mergeCell ref="B12:D12"/>
    <mergeCell ref="E12:F12"/>
    <mergeCell ref="G12:H12"/>
    <mergeCell ref="A13:D13"/>
    <mergeCell ref="E13:F13"/>
    <mergeCell ref="G13:H13"/>
    <mergeCell ref="M13:N13"/>
    <mergeCell ref="O13:P13"/>
    <mergeCell ref="Q13:R13"/>
    <mergeCell ref="S13:T13"/>
    <mergeCell ref="Q12:R12"/>
    <mergeCell ref="Q8:R9"/>
    <mergeCell ref="S8:T9"/>
    <mergeCell ref="B8:D9"/>
    <mergeCell ref="E8:F9"/>
    <mergeCell ref="G8:H9"/>
    <mergeCell ref="B10:D10"/>
    <mergeCell ref="E10:F10"/>
    <mergeCell ref="G10:H10"/>
    <mergeCell ref="Q10:R10"/>
    <mergeCell ref="S10:T10"/>
    <mergeCell ref="A6:D6"/>
    <mergeCell ref="B7:D7"/>
    <mergeCell ref="I4:J4"/>
    <mergeCell ref="K4:L4"/>
    <mergeCell ref="M4:N4"/>
    <mergeCell ref="O4:P4"/>
    <mergeCell ref="M7:N7"/>
    <mergeCell ref="O7:P7"/>
    <mergeCell ref="O1:P1"/>
    <mergeCell ref="E7:F7"/>
    <mergeCell ref="G7:H7"/>
    <mergeCell ref="I7:J7"/>
    <mergeCell ref="K7:L7"/>
    <mergeCell ref="B5:D5"/>
    <mergeCell ref="Q1:R1"/>
    <mergeCell ref="S1:T1"/>
    <mergeCell ref="A3:D3"/>
    <mergeCell ref="B4:D4"/>
    <mergeCell ref="E4:F4"/>
    <mergeCell ref="G4:H4"/>
    <mergeCell ref="Q4:R4"/>
    <mergeCell ref="S4:T4"/>
    <mergeCell ref="E1:F1"/>
    <mergeCell ref="G1:H1"/>
    <mergeCell ref="A2:D2"/>
    <mergeCell ref="I1:J1"/>
    <mergeCell ref="K1:L1"/>
    <mergeCell ref="M1:N1"/>
    <mergeCell ref="A15:D15"/>
    <mergeCell ref="A16:D16"/>
    <mergeCell ref="B17:D18"/>
    <mergeCell ref="E17:F18"/>
    <mergeCell ref="O17:P18"/>
    <mergeCell ref="Q7:R7"/>
    <mergeCell ref="S7:T7"/>
    <mergeCell ref="I8:J9"/>
    <mergeCell ref="K8:L9"/>
    <mergeCell ref="B11:D11"/>
    <mergeCell ref="E11:F11"/>
    <mergeCell ref="G11:H11"/>
    <mergeCell ref="I11:J11"/>
    <mergeCell ref="M10:N10"/>
    <mergeCell ref="O10:P10"/>
    <mergeCell ref="K11:L11"/>
    <mergeCell ref="M11:N11"/>
    <mergeCell ref="O11:P11"/>
    <mergeCell ref="Q11:R11"/>
    <mergeCell ref="S11:T11"/>
    <mergeCell ref="M8:N9"/>
    <mergeCell ref="O8:P9"/>
    <mergeCell ref="I10:J10"/>
    <mergeCell ref="K10:L10"/>
    <mergeCell ref="B21:D21"/>
    <mergeCell ref="E21:F21"/>
    <mergeCell ref="K21:L21"/>
    <mergeCell ref="I21:J21"/>
    <mergeCell ref="M21:N21"/>
    <mergeCell ref="O21:P21"/>
    <mergeCell ref="Q21:R21"/>
    <mergeCell ref="S21:T21"/>
    <mergeCell ref="Q17:R18"/>
    <mergeCell ref="S17:T18"/>
    <mergeCell ref="B19:D20"/>
    <mergeCell ref="E19:F20"/>
    <mergeCell ref="G19:H20"/>
    <mergeCell ref="I19:J20"/>
    <mergeCell ref="K19:L20"/>
    <mergeCell ref="M19:N20"/>
    <mergeCell ref="O19:P20"/>
    <mergeCell ref="Q19:R20"/>
    <mergeCell ref="S19:T20"/>
    <mergeCell ref="G17:H18"/>
    <mergeCell ref="I17:J18"/>
    <mergeCell ref="K17:L18"/>
    <mergeCell ref="M17:N18"/>
    <mergeCell ref="A22:D22"/>
    <mergeCell ref="B23:D24"/>
    <mergeCell ref="E23:F24"/>
    <mergeCell ref="G23:H24"/>
    <mergeCell ref="I23:J24"/>
    <mergeCell ref="K23:L24"/>
    <mergeCell ref="M23:N24"/>
    <mergeCell ref="O23:P24"/>
    <mergeCell ref="Q23:R24"/>
    <mergeCell ref="S23:T24"/>
    <mergeCell ref="B25:D25"/>
    <mergeCell ref="E25:F25"/>
    <mergeCell ref="G25:H25"/>
    <mergeCell ref="I25:J25"/>
    <mergeCell ref="K25:L25"/>
    <mergeCell ref="M25:N25"/>
    <mergeCell ref="O25:P25"/>
    <mergeCell ref="Q25:R25"/>
    <mergeCell ref="S25:T25"/>
    <mergeCell ref="Q28:R28"/>
    <mergeCell ref="S28:T28"/>
    <mergeCell ref="K26:L27"/>
    <mergeCell ref="M26:N27"/>
    <mergeCell ref="O26:P27"/>
    <mergeCell ref="Q26:R27"/>
    <mergeCell ref="B26:D27"/>
    <mergeCell ref="E26:F27"/>
    <mergeCell ref="G26:H27"/>
    <mergeCell ref="I26:J27"/>
    <mergeCell ref="S26:T27"/>
    <mergeCell ref="A30:D30"/>
    <mergeCell ref="A31:D31"/>
    <mergeCell ref="B32:D32"/>
    <mergeCell ref="E32:F32"/>
    <mergeCell ref="O32:P32"/>
    <mergeCell ref="A28:D28"/>
    <mergeCell ref="E28:F28"/>
    <mergeCell ref="G28:H28"/>
    <mergeCell ref="I28:J28"/>
    <mergeCell ref="K28:L28"/>
    <mergeCell ref="M28:N28"/>
    <mergeCell ref="O28:P28"/>
    <mergeCell ref="Q32:R32"/>
    <mergeCell ref="S32:T32"/>
    <mergeCell ref="B33:D33"/>
    <mergeCell ref="E33:F33"/>
    <mergeCell ref="K33:L33"/>
    <mergeCell ref="I33:J33"/>
    <mergeCell ref="M33:N33"/>
    <mergeCell ref="O33:P33"/>
    <mergeCell ref="Q33:R33"/>
    <mergeCell ref="S33:T33"/>
    <mergeCell ref="G32:H32"/>
    <mergeCell ref="I32:J32"/>
    <mergeCell ref="K32:L32"/>
    <mergeCell ref="M32:N32"/>
    <mergeCell ref="A34:D34"/>
    <mergeCell ref="B35:D35"/>
    <mergeCell ref="E35:F35"/>
    <mergeCell ref="G35:H35"/>
    <mergeCell ref="I35:J35"/>
    <mergeCell ref="K35:L35"/>
    <mergeCell ref="M35:N35"/>
    <mergeCell ref="O35:P35"/>
    <mergeCell ref="Q35:R35"/>
    <mergeCell ref="S35:T35"/>
    <mergeCell ref="B36:D36"/>
    <mergeCell ref="E36:F36"/>
    <mergeCell ref="G36:H36"/>
    <mergeCell ref="I36:J36"/>
    <mergeCell ref="K36:L36"/>
    <mergeCell ref="M36:N36"/>
    <mergeCell ref="O36:P36"/>
    <mergeCell ref="Q36:R36"/>
    <mergeCell ref="S36:T36"/>
    <mergeCell ref="B37:D37"/>
    <mergeCell ref="E37:F37"/>
    <mergeCell ref="G37:H37"/>
    <mergeCell ref="I37:J37"/>
    <mergeCell ref="K37:L37"/>
    <mergeCell ref="M37:N37"/>
    <mergeCell ref="O37:P37"/>
    <mergeCell ref="Q37:R37"/>
    <mergeCell ref="S37:T37"/>
    <mergeCell ref="K38:L38"/>
    <mergeCell ref="M38:N38"/>
    <mergeCell ref="O38:P38"/>
    <mergeCell ref="Q38:R38"/>
    <mergeCell ref="A38:D38"/>
    <mergeCell ref="E38:F38"/>
    <mergeCell ref="G38:H38"/>
    <mergeCell ref="I38:J38"/>
    <mergeCell ref="S38:T38"/>
    <mergeCell ref="A41:D41"/>
    <mergeCell ref="E41:F41"/>
    <mergeCell ref="G41:H41"/>
    <mergeCell ref="I41:J41"/>
    <mergeCell ref="S41:T41"/>
    <mergeCell ref="A40:D40"/>
    <mergeCell ref="E40:F40"/>
    <mergeCell ref="G40:H40"/>
    <mergeCell ref="I40:J40"/>
    <mergeCell ref="K40:L40"/>
    <mergeCell ref="M40:N40"/>
    <mergeCell ref="O40:P40"/>
    <mergeCell ref="Q40:R40"/>
    <mergeCell ref="S40:T40"/>
    <mergeCell ref="K42:L42"/>
    <mergeCell ref="M42:N42"/>
    <mergeCell ref="O42:P42"/>
    <mergeCell ref="Q42:R42"/>
    <mergeCell ref="S42:T42"/>
    <mergeCell ref="K41:L41"/>
    <mergeCell ref="M41:N41"/>
    <mergeCell ref="O41:P41"/>
    <mergeCell ref="Q41:R41"/>
    <mergeCell ref="S5:T5"/>
    <mergeCell ref="G33:H33"/>
    <mergeCell ref="A46:D46"/>
    <mergeCell ref="E46:F46"/>
    <mergeCell ref="G46:H46"/>
    <mergeCell ref="I46:J46"/>
    <mergeCell ref="K46:L46"/>
    <mergeCell ref="M46:N46"/>
    <mergeCell ref="O46:P46"/>
    <mergeCell ref="Q46:R46"/>
    <mergeCell ref="S46:T46"/>
    <mergeCell ref="K45:L45"/>
    <mergeCell ref="M45:N45"/>
    <mergeCell ref="O45:P45"/>
    <mergeCell ref="Q45:R45"/>
    <mergeCell ref="A45:D45"/>
    <mergeCell ref="E45:F45"/>
    <mergeCell ref="G45:H45"/>
    <mergeCell ref="I45:J45"/>
    <mergeCell ref="S45:T45"/>
    <mergeCell ref="A42:D42"/>
    <mergeCell ref="E42:F42"/>
    <mergeCell ref="G42:H42"/>
    <mergeCell ref="I42:J42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</dc:creator>
  <cp:keywords/>
  <dc:description/>
  <cp:lastModifiedBy>Install</cp:lastModifiedBy>
  <dcterms:created xsi:type="dcterms:W3CDTF">2012-09-22T20:53:30Z</dcterms:created>
  <dcterms:modified xsi:type="dcterms:W3CDTF">2012-10-23T04:00:35Z</dcterms:modified>
  <cp:category/>
  <cp:version/>
  <cp:contentType/>
  <cp:contentStatus/>
</cp:coreProperties>
</file>